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quel\Documents\"/>
    </mc:Choice>
  </mc:AlternateContent>
  <bookViews>
    <workbookView xWindow="0" yWindow="0" windowWidth="19200" windowHeight="11595" tabRatio="927"/>
  </bookViews>
  <sheets>
    <sheet name="DATOS A INTRODUCIR" sheetId="3" r:id="rId1"/>
    <sheet name="RESULTADOS" sheetId="6" r:id="rId2"/>
    <sheet name="RN y MPF" sheetId="4" state="hidden" r:id="rId3"/>
    <sheet name="CUOTA ESTATAL" sheetId="1" state="hidden" r:id="rId4"/>
    <sheet name="ANDALUCIA" sheetId="7" state="hidden" r:id="rId5"/>
    <sheet name="ARAGÓN" sheetId="8" state="hidden" r:id="rId6"/>
    <sheet name="ASTURIAS" sheetId="15" state="hidden" r:id="rId7"/>
    <sheet name="BALEARES" sheetId="9" state="hidden" r:id="rId8"/>
    <sheet name="CANARIAS" sheetId="16" state="hidden" r:id="rId9"/>
    <sheet name="CANTABRIA" sheetId="10" state="hidden" r:id="rId10"/>
    <sheet name="C-La Mancha" sheetId="17" state="hidden" r:id="rId11"/>
    <sheet name="CyLeón" sheetId="11" state="hidden" r:id="rId12"/>
    <sheet name="CATALUÑA" sheetId="18" state="hidden" r:id="rId13"/>
    <sheet name="EXTREMADURA" sheetId="22" state="hidden" r:id="rId14"/>
    <sheet name="GALICIA" sheetId="12" state="hidden" r:id="rId15"/>
    <sheet name="MADRID" sheetId="19" state="hidden" r:id="rId16"/>
    <sheet name="MURCIA" sheetId="20" state="hidden" r:id="rId17"/>
    <sheet name="La RIOJA" sheetId="13" state="hidden" r:id="rId18"/>
    <sheet name="VALENCIA" sheetId="21" state="hidden" r:id="rId1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4" l="1"/>
  <c r="B3" i="4"/>
  <c r="B5" i="4"/>
  <c r="B6" i="4"/>
  <c r="B7" i="4"/>
  <c r="B9" i="4"/>
  <c r="B10" i="4"/>
  <c r="D13" i="1"/>
  <c r="F5" i="1"/>
  <c r="F6" i="1"/>
  <c r="F7" i="1"/>
  <c r="F8" i="1"/>
  <c r="F9" i="1"/>
  <c r="F10" i="1"/>
  <c r="C13" i="4"/>
  <c r="F13" i="4"/>
  <c r="F14" i="4"/>
  <c r="F16" i="4"/>
  <c r="F27" i="4"/>
  <c r="F29" i="4"/>
  <c r="D14" i="1"/>
  <c r="G5" i="1"/>
  <c r="G6" i="1"/>
  <c r="G7" i="1"/>
  <c r="G8" i="1"/>
  <c r="G9" i="1"/>
  <c r="G10" i="1"/>
  <c r="F13" i="1"/>
  <c r="F15" i="1"/>
  <c r="F16" i="1"/>
  <c r="F17" i="1"/>
  <c r="I20" i="6"/>
  <c r="I21" i="6"/>
  <c r="D6" i="1"/>
  <c r="F15" i="4"/>
  <c r="F18" i="4"/>
  <c r="F19" i="4"/>
  <c r="F21" i="4"/>
  <c r="F22" i="4"/>
  <c r="F24" i="4"/>
  <c r="F25" i="4"/>
  <c r="F26" i="4"/>
  <c r="C69" i="4"/>
  <c r="F69" i="4"/>
  <c r="F70" i="4"/>
  <c r="F71" i="4"/>
  <c r="F72" i="4"/>
  <c r="F74" i="4"/>
  <c r="F75" i="4"/>
  <c r="F77" i="4"/>
  <c r="F78" i="4"/>
  <c r="F80" i="4"/>
  <c r="F81" i="4"/>
  <c r="F82" i="4"/>
  <c r="F83" i="4"/>
  <c r="F85" i="4"/>
  <c r="D14" i="19"/>
  <c r="D74" i="4"/>
  <c r="F84" i="4"/>
  <c r="C81" i="4"/>
  <c r="E81" i="4"/>
  <c r="D81" i="4"/>
  <c r="C80" i="4"/>
  <c r="E80" i="4"/>
  <c r="D80" i="4"/>
  <c r="C78" i="4"/>
  <c r="E78" i="4"/>
  <c r="D78" i="4"/>
  <c r="C77" i="4"/>
  <c r="E77" i="4"/>
  <c r="D77" i="4"/>
  <c r="C75" i="4"/>
  <c r="E75" i="4"/>
  <c r="D75" i="4"/>
  <c r="C74" i="4"/>
  <c r="E74" i="4"/>
  <c r="D69" i="4"/>
  <c r="D3" i="6"/>
  <c r="E3" i="6"/>
  <c r="F3" i="6"/>
  <c r="J3" i="6"/>
  <c r="I3" i="6"/>
  <c r="H7" i="4"/>
  <c r="D16" i="7"/>
  <c r="D5" i="7"/>
  <c r="F5" i="7"/>
  <c r="D6" i="7"/>
  <c r="F6" i="7"/>
  <c r="F7" i="7"/>
  <c r="F8" i="7"/>
  <c r="F9" i="7"/>
  <c r="F10" i="7"/>
  <c r="F11" i="7"/>
  <c r="F12" i="7"/>
  <c r="F14" i="7"/>
  <c r="D17" i="7"/>
  <c r="G5" i="7"/>
  <c r="G6" i="7"/>
  <c r="G7" i="7"/>
  <c r="G8" i="7"/>
  <c r="G9" i="7"/>
  <c r="G10" i="7"/>
  <c r="G11" i="7"/>
  <c r="G12" i="7"/>
  <c r="G14" i="7"/>
  <c r="F16" i="7"/>
  <c r="D4" i="6"/>
  <c r="E4" i="6"/>
  <c r="D18" i="8"/>
  <c r="D5" i="8"/>
  <c r="F5" i="8"/>
  <c r="D6" i="8"/>
  <c r="F6" i="8"/>
  <c r="F7" i="8"/>
  <c r="F8" i="8"/>
  <c r="F9" i="8"/>
  <c r="F10" i="8"/>
  <c r="F11" i="8"/>
  <c r="F12" i="8"/>
  <c r="F13" i="8"/>
  <c r="F14" i="8"/>
  <c r="F16" i="8"/>
  <c r="D19" i="8"/>
  <c r="G5" i="8"/>
  <c r="G6" i="8"/>
  <c r="G7" i="8"/>
  <c r="G8" i="8"/>
  <c r="G9" i="8"/>
  <c r="G10" i="8"/>
  <c r="G11" i="8"/>
  <c r="G12" i="8"/>
  <c r="G13" i="8"/>
  <c r="G14" i="8"/>
  <c r="G16" i="8"/>
  <c r="F18" i="8"/>
  <c r="D5" i="6"/>
  <c r="E5" i="6"/>
  <c r="D16" i="15"/>
  <c r="D5" i="15"/>
  <c r="F5" i="15"/>
  <c r="D6" i="15"/>
  <c r="F6" i="15"/>
  <c r="F7" i="15"/>
  <c r="F8" i="15"/>
  <c r="F9" i="15"/>
  <c r="F10" i="15"/>
  <c r="F11" i="15"/>
  <c r="F12" i="15"/>
  <c r="F14" i="15"/>
  <c r="D17" i="15"/>
  <c r="G5" i="15"/>
  <c r="G6" i="15"/>
  <c r="G7" i="15"/>
  <c r="G8" i="15"/>
  <c r="G9" i="15"/>
  <c r="G10" i="15"/>
  <c r="G11" i="15"/>
  <c r="G12" i="15"/>
  <c r="G14" i="15"/>
  <c r="F16" i="15"/>
  <c r="D6" i="6"/>
  <c r="E6" i="6"/>
  <c r="D17" i="9"/>
  <c r="D5" i="9"/>
  <c r="F5" i="9"/>
  <c r="D6" i="9"/>
  <c r="F6" i="9"/>
  <c r="F7" i="9"/>
  <c r="F8" i="9"/>
  <c r="F9" i="9"/>
  <c r="F10" i="9"/>
  <c r="F11" i="9"/>
  <c r="F12" i="9"/>
  <c r="F13" i="9"/>
  <c r="F15" i="9"/>
  <c r="C40" i="4"/>
  <c r="F40" i="4"/>
  <c r="F41" i="4"/>
  <c r="F42" i="4"/>
  <c r="F43" i="4"/>
  <c r="F45" i="4"/>
  <c r="F46" i="4"/>
  <c r="F48" i="4"/>
  <c r="F49" i="4"/>
  <c r="F51" i="4"/>
  <c r="F52" i="4"/>
  <c r="F53" i="4"/>
  <c r="F54" i="4"/>
  <c r="F56" i="4"/>
  <c r="D18" i="9"/>
  <c r="G5" i="9"/>
  <c r="G6" i="9"/>
  <c r="G7" i="9"/>
  <c r="G8" i="9"/>
  <c r="G9" i="9"/>
  <c r="G10" i="9"/>
  <c r="G11" i="9"/>
  <c r="G12" i="9"/>
  <c r="G13" i="9"/>
  <c r="G15" i="9"/>
  <c r="F17" i="9"/>
  <c r="D7" i="6"/>
  <c r="E7" i="6"/>
  <c r="D14" i="16"/>
  <c r="D5" i="16"/>
  <c r="F5" i="16"/>
  <c r="D6" i="16"/>
  <c r="F6" i="16"/>
  <c r="F7" i="16"/>
  <c r="F8" i="16"/>
  <c r="F9" i="16"/>
  <c r="F10" i="16"/>
  <c r="F12" i="16"/>
  <c r="D15" i="16"/>
  <c r="G5" i="16"/>
  <c r="G6" i="16"/>
  <c r="G7" i="16"/>
  <c r="G8" i="16"/>
  <c r="G9" i="16"/>
  <c r="G10" i="16"/>
  <c r="G12" i="16"/>
  <c r="F14" i="16"/>
  <c r="D8" i="6"/>
  <c r="E8" i="6"/>
  <c r="D15" i="10"/>
  <c r="D5" i="10"/>
  <c r="F5" i="10"/>
  <c r="D6" i="10"/>
  <c r="F6" i="10"/>
  <c r="F7" i="10"/>
  <c r="F8" i="10"/>
  <c r="F9" i="10"/>
  <c r="F10" i="10"/>
  <c r="F11" i="10"/>
  <c r="F13" i="10"/>
  <c r="D16" i="10"/>
  <c r="G5" i="10"/>
  <c r="G6" i="10"/>
  <c r="G7" i="10"/>
  <c r="G8" i="10"/>
  <c r="G9" i="10"/>
  <c r="G10" i="10"/>
  <c r="G11" i="10"/>
  <c r="G13" i="10"/>
  <c r="F15" i="10"/>
  <c r="D9" i="6"/>
  <c r="E9" i="6"/>
  <c r="D13" i="11"/>
  <c r="D5" i="11"/>
  <c r="F5" i="11"/>
  <c r="D6" i="11"/>
  <c r="F6" i="11"/>
  <c r="F7" i="11"/>
  <c r="F8" i="11"/>
  <c r="F9" i="11"/>
  <c r="F11" i="11"/>
  <c r="D14" i="11"/>
  <c r="G5" i="11"/>
  <c r="G6" i="11"/>
  <c r="G7" i="11"/>
  <c r="G8" i="11"/>
  <c r="G9" i="11"/>
  <c r="G11" i="11"/>
  <c r="F13" i="11"/>
  <c r="D10" i="6"/>
  <c r="E10" i="6"/>
  <c r="D13" i="17"/>
  <c r="D5" i="17"/>
  <c r="F5" i="17"/>
  <c r="D6" i="17"/>
  <c r="F6" i="17"/>
  <c r="F7" i="17"/>
  <c r="F8" i="17"/>
  <c r="F9" i="17"/>
  <c r="F11" i="17"/>
  <c r="D14" i="17"/>
  <c r="G5" i="17"/>
  <c r="G6" i="17"/>
  <c r="G7" i="17"/>
  <c r="G8" i="17"/>
  <c r="G9" i="17"/>
  <c r="G11" i="17"/>
  <c r="F13" i="17"/>
  <c r="D11" i="6"/>
  <c r="E11" i="6"/>
  <c r="D14" i="18"/>
  <c r="D5" i="18"/>
  <c r="F5" i="18"/>
  <c r="F6" i="18"/>
  <c r="F7" i="18"/>
  <c r="F8" i="18"/>
  <c r="F9" i="18"/>
  <c r="F10" i="18"/>
  <c r="F12" i="18"/>
  <c r="D15" i="18"/>
  <c r="G5" i="18"/>
  <c r="G6" i="18"/>
  <c r="G7" i="18"/>
  <c r="G8" i="18"/>
  <c r="G9" i="18"/>
  <c r="G10" i="18"/>
  <c r="G12" i="18"/>
  <c r="F14" i="18"/>
  <c r="D12" i="6"/>
  <c r="E12" i="6"/>
  <c r="D17" i="22"/>
  <c r="D5" i="22"/>
  <c r="F5" i="22"/>
  <c r="D6" i="22"/>
  <c r="F6" i="22"/>
  <c r="F7" i="22"/>
  <c r="F8" i="22"/>
  <c r="F9" i="22"/>
  <c r="F10" i="22"/>
  <c r="F11" i="22"/>
  <c r="F12" i="22"/>
  <c r="F13" i="22"/>
  <c r="F15" i="22"/>
  <c r="D18" i="22"/>
  <c r="G5" i="22"/>
  <c r="G6" i="22"/>
  <c r="G7" i="22"/>
  <c r="G8" i="22"/>
  <c r="G9" i="22"/>
  <c r="G10" i="22"/>
  <c r="G11" i="22"/>
  <c r="G12" i="22"/>
  <c r="G13" i="22"/>
  <c r="G15" i="22"/>
  <c r="F17" i="22"/>
  <c r="D13" i="6"/>
  <c r="E13" i="6"/>
  <c r="D15" i="12"/>
  <c r="D5" i="12"/>
  <c r="F5" i="12"/>
  <c r="D6" i="12"/>
  <c r="F6" i="12"/>
  <c r="F7" i="12"/>
  <c r="F8" i="12"/>
  <c r="F9" i="12"/>
  <c r="F10" i="12"/>
  <c r="F11" i="12"/>
  <c r="F13" i="12"/>
  <c r="D16" i="12"/>
  <c r="G5" i="12"/>
  <c r="G6" i="12"/>
  <c r="G7" i="12"/>
  <c r="G8" i="12"/>
  <c r="G9" i="12"/>
  <c r="G10" i="12"/>
  <c r="G11" i="12"/>
  <c r="G13" i="12"/>
  <c r="F15" i="12"/>
  <c r="D14" i="6"/>
  <c r="E14" i="6"/>
  <c r="D13" i="19"/>
  <c r="D5" i="19"/>
  <c r="F5" i="19"/>
  <c r="D6" i="19"/>
  <c r="F6" i="19"/>
  <c r="F7" i="19"/>
  <c r="F8" i="19"/>
  <c r="F9" i="19"/>
  <c r="F11" i="19"/>
  <c r="G5" i="19"/>
  <c r="G6" i="19"/>
  <c r="G7" i="19"/>
  <c r="G8" i="19"/>
  <c r="G9" i="19"/>
  <c r="G11" i="19"/>
  <c r="F13" i="19"/>
  <c r="D15" i="6"/>
  <c r="E15" i="6"/>
  <c r="D13" i="20"/>
  <c r="D5" i="20"/>
  <c r="F5" i="20"/>
  <c r="D6" i="20"/>
  <c r="F6" i="20"/>
  <c r="F7" i="20"/>
  <c r="F8" i="20"/>
  <c r="F9" i="20"/>
  <c r="F11" i="20"/>
  <c r="D14" i="20"/>
  <c r="G5" i="20"/>
  <c r="G6" i="20"/>
  <c r="G7" i="20"/>
  <c r="G8" i="20"/>
  <c r="G9" i="20"/>
  <c r="G11" i="20"/>
  <c r="F13" i="20"/>
  <c r="D16" i="6"/>
  <c r="E16" i="6"/>
  <c r="D15" i="13"/>
  <c r="D5" i="13"/>
  <c r="F5" i="13"/>
  <c r="D6" i="13"/>
  <c r="F6" i="13"/>
  <c r="F7" i="13"/>
  <c r="F8" i="13"/>
  <c r="F9" i="13"/>
  <c r="F10" i="13"/>
  <c r="F11" i="13"/>
  <c r="F13" i="13"/>
  <c r="D16" i="13"/>
  <c r="G5" i="13"/>
  <c r="G6" i="13"/>
  <c r="G7" i="13"/>
  <c r="G8" i="13"/>
  <c r="G9" i="13"/>
  <c r="G10" i="13"/>
  <c r="G11" i="13"/>
  <c r="G13" i="13"/>
  <c r="F15" i="13"/>
  <c r="D17" i="6"/>
  <c r="E17" i="6"/>
  <c r="D14" i="21"/>
  <c r="D5" i="21"/>
  <c r="F5" i="21"/>
  <c r="F6" i="21"/>
  <c r="F7" i="21"/>
  <c r="F8" i="21"/>
  <c r="F9" i="21"/>
  <c r="F10" i="21"/>
  <c r="F12" i="21"/>
  <c r="D15" i="21"/>
  <c r="G5" i="21"/>
  <c r="G6" i="21"/>
  <c r="G7" i="21"/>
  <c r="G8" i="21"/>
  <c r="G9" i="21"/>
  <c r="G10" i="21"/>
  <c r="G12" i="21"/>
  <c r="F14" i="21"/>
  <c r="D18" i="6"/>
  <c r="E18" i="6"/>
  <c r="I16" i="6"/>
  <c r="I5" i="6"/>
  <c r="I6" i="6"/>
  <c r="I7" i="6"/>
  <c r="I8" i="6"/>
  <c r="I9" i="6"/>
  <c r="I10" i="6"/>
  <c r="I11" i="6"/>
  <c r="I12" i="6"/>
  <c r="I13" i="6"/>
  <c r="I14" i="6"/>
  <c r="I15" i="6"/>
  <c r="I17" i="6"/>
  <c r="I18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H10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4" i="6"/>
  <c r="I4" i="6"/>
  <c r="H4" i="6"/>
  <c r="H5" i="6"/>
  <c r="H6" i="6"/>
  <c r="H7" i="6"/>
  <c r="H8" i="6"/>
  <c r="H9" i="6"/>
  <c r="H11" i="6"/>
  <c r="H12" i="6"/>
  <c r="H13" i="6"/>
  <c r="H14" i="6"/>
  <c r="H15" i="6"/>
  <c r="H16" i="6"/>
  <c r="H17" i="6"/>
  <c r="H18" i="6"/>
  <c r="D7" i="8"/>
  <c r="D8" i="8"/>
  <c r="D9" i="8"/>
  <c r="D10" i="8"/>
  <c r="D11" i="8"/>
  <c r="D12" i="8"/>
  <c r="D13" i="8"/>
  <c r="D18" i="4"/>
  <c r="C18" i="4"/>
  <c r="E18" i="4"/>
  <c r="C19" i="4"/>
  <c r="E19" i="4"/>
  <c r="D45" i="4"/>
  <c r="C45" i="4"/>
  <c r="E45" i="4"/>
  <c r="C46" i="4"/>
  <c r="E46" i="4"/>
  <c r="C22" i="4"/>
  <c r="E22" i="4"/>
  <c r="C25" i="4"/>
  <c r="E25" i="4"/>
  <c r="D13" i="4"/>
  <c r="D40" i="4"/>
  <c r="C49" i="4"/>
  <c r="E49" i="4"/>
  <c r="C52" i="4"/>
  <c r="E52" i="4"/>
  <c r="D7" i="22"/>
  <c r="D8" i="22"/>
  <c r="D9" i="22"/>
  <c r="D10" i="22"/>
  <c r="D11" i="22"/>
  <c r="D12" i="22"/>
  <c r="D52" i="4"/>
  <c r="D51" i="4"/>
  <c r="C51" i="4"/>
  <c r="D46" i="4"/>
  <c r="D19" i="4"/>
  <c r="K57" i="4"/>
  <c r="K56" i="4"/>
  <c r="K55" i="4"/>
  <c r="C48" i="4"/>
  <c r="D48" i="4"/>
  <c r="E48" i="4"/>
  <c r="D49" i="4"/>
  <c r="E51" i="4"/>
  <c r="F55" i="4"/>
  <c r="C24" i="4"/>
  <c r="E24" i="4"/>
  <c r="D25" i="4"/>
  <c r="D24" i="4"/>
  <c r="C21" i="4"/>
  <c r="E21" i="4"/>
  <c r="D22" i="4"/>
  <c r="D21" i="4"/>
  <c r="F28" i="4"/>
  <c r="D6" i="21"/>
  <c r="D7" i="21"/>
  <c r="D8" i="21"/>
  <c r="D9" i="21"/>
  <c r="D7" i="20"/>
  <c r="D8" i="20"/>
  <c r="D7" i="19"/>
  <c r="D8" i="19"/>
  <c r="D6" i="18"/>
  <c r="D7" i="18"/>
  <c r="D8" i="18"/>
  <c r="D9" i="18"/>
  <c r="D7" i="17"/>
  <c r="D8" i="17"/>
  <c r="D9" i="16"/>
  <c r="D7" i="16"/>
  <c r="D8" i="16"/>
  <c r="D7" i="15"/>
  <c r="D8" i="15"/>
  <c r="D9" i="15"/>
  <c r="D10" i="15"/>
  <c r="D11" i="15"/>
  <c r="D7" i="13"/>
  <c r="D8" i="13"/>
  <c r="D9" i="13"/>
  <c r="D10" i="13"/>
  <c r="D7" i="12"/>
  <c r="D8" i="12"/>
  <c r="D9" i="12"/>
  <c r="D10" i="12"/>
  <c r="D7" i="11"/>
  <c r="D8" i="11"/>
  <c r="D7" i="10"/>
  <c r="D8" i="10"/>
  <c r="D9" i="10"/>
  <c r="D10" i="10"/>
  <c r="D7" i="9"/>
  <c r="D8" i="9"/>
  <c r="D9" i="9"/>
  <c r="D10" i="9"/>
  <c r="D11" i="9"/>
  <c r="D12" i="9"/>
  <c r="D7" i="7"/>
  <c r="D8" i="7"/>
  <c r="D9" i="7"/>
  <c r="D10" i="7"/>
  <c r="D11" i="7"/>
  <c r="D7" i="1"/>
  <c r="D8" i="1"/>
</calcChain>
</file>

<file path=xl/sharedStrings.xml><?xml version="1.0" encoding="utf-8"?>
<sst xmlns="http://schemas.openxmlformats.org/spreadsheetml/2006/main" count="219" uniqueCount="117">
  <si>
    <t>CUOTA ESTATAL</t>
  </si>
  <si>
    <t>TARIFA ESTATAL</t>
  </si>
  <si>
    <t>Rendimiento íntegro</t>
  </si>
  <si>
    <t>Rendimiento neto</t>
  </si>
  <si>
    <t>Reducciones</t>
  </si>
  <si>
    <t>RN reducido</t>
  </si>
  <si>
    <t>BI GENERAL</t>
  </si>
  <si>
    <t>BL GENERAL</t>
  </si>
  <si>
    <t xml:space="preserve"> MÍNIMO PERSONAL </t>
  </si>
  <si>
    <t>DESCENDIENTES</t>
  </si>
  <si>
    <t>MENOR DE 3 AÑOS</t>
  </si>
  <si>
    <t>ASCENDIENTES + 65</t>
  </si>
  <si>
    <t>ASCENDIENTES + 75</t>
  </si>
  <si>
    <t>mayor 65 años</t>
  </si>
  <si>
    <t>mayor 75 años</t>
  </si>
  <si>
    <t>Mínimo</t>
  </si>
  <si>
    <r>
      <rPr>
        <b/>
        <sz val="18"/>
        <color rgb="FFFF0000"/>
        <rFont val="Calibri"/>
        <scheme val="minor"/>
      </rPr>
      <t>EDAD</t>
    </r>
    <r>
      <rPr>
        <b/>
        <sz val="18"/>
        <color theme="1"/>
        <rFont val="Calibri"/>
        <scheme val="minor"/>
      </rPr>
      <t xml:space="preserve"> del contribuyente</t>
    </r>
  </si>
  <si>
    <t>1 ó 2</t>
  </si>
  <si>
    <t>3 ó 4</t>
  </si>
  <si>
    <t>Importe máximo SS</t>
  </si>
  <si>
    <t>Nº de ascendientes a cargo del contribuyente &gt; 75 años</t>
  </si>
  <si>
    <t>SUMA</t>
  </si>
  <si>
    <t>MÍNIMO ESTATAL</t>
  </si>
  <si>
    <t>Gasto de 2.000</t>
  </si>
  <si>
    <t>datos reducción legal</t>
  </si>
  <si>
    <t>Gastos SS</t>
  </si>
  <si>
    <t>Retribuciones brutas del trabajo</t>
  </si>
  <si>
    <t>De los anteriores, indicar el nº de hijos menores de 3 años</t>
  </si>
  <si>
    <t>Nº de ascendientes a cargo del contribuyente &gt; 65 años y menores de 75</t>
  </si>
  <si>
    <r>
      <t xml:space="preserve">¿Se computan los mínimos por entero? Responda </t>
    </r>
    <r>
      <rPr>
        <b/>
        <sz val="14"/>
        <color rgb="FF008000"/>
        <rFont val="Calibri"/>
        <scheme val="minor"/>
      </rPr>
      <t>SÍ</t>
    </r>
    <r>
      <rPr>
        <b/>
        <sz val="14"/>
        <color theme="1"/>
        <rFont val="Calibri"/>
        <scheme val="minor"/>
      </rPr>
      <t xml:space="preserve"> o </t>
    </r>
    <r>
      <rPr>
        <b/>
        <sz val="14"/>
        <color rgb="FFFF0000"/>
        <rFont val="Calibri"/>
        <scheme val="minor"/>
      </rPr>
      <t>NO</t>
    </r>
  </si>
  <si>
    <t>ANDALUCÍA</t>
  </si>
  <si>
    <t>ARAGÓN</t>
  </si>
  <si>
    <t>ILLES BALEARS</t>
  </si>
  <si>
    <t>PRINCIPADO DE ASTURIAS</t>
  </si>
  <si>
    <t>ISLAS CANARIAS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</si>
  <si>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</si>
  <si>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</si>
  <si>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</si>
  <si>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</si>
  <si>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</si>
  <si>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</si>
  <si>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</si>
  <si>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REGIÓN DE MURCIA</t>
  </si>
  <si>
    <t>LA RIOJA</t>
  </si>
  <si>
    <t>VALENCIA</t>
  </si>
  <si>
    <t>BASE LIQUIDABLE GENERAL</t>
  </si>
  <si>
    <t>SUMA DE LOS MÍNIMOS</t>
  </si>
  <si>
    <t>TARIFA ANDALUCIA</t>
  </si>
  <si>
    <t>MÍNIMO Andalucía</t>
  </si>
  <si>
    <t>DISCAPACITADO</t>
  </si>
  <si>
    <t>NO</t>
  </si>
  <si>
    <t>Discapacitados</t>
  </si>
  <si>
    <t>TARIFA ARAGÓN</t>
  </si>
  <si>
    <t>MÍNIMO Aragón</t>
  </si>
  <si>
    <t>MÍNIMO Baleares</t>
  </si>
  <si>
    <t>TARIFA BALEARES</t>
  </si>
  <si>
    <t>MÍNIMO Cantabria</t>
  </si>
  <si>
    <t>TARIFA CANTABRIA</t>
  </si>
  <si>
    <t>MÍNIMO CyL</t>
  </si>
  <si>
    <t>TARIFA CASTILLA Y LEÓN</t>
  </si>
  <si>
    <t>MÍNIMO Galicia</t>
  </si>
  <si>
    <t>TARIFA GALICIA</t>
  </si>
  <si>
    <t>MÍNIMO La Rioja</t>
  </si>
  <si>
    <t>TARIFA LA RIOJA</t>
  </si>
  <si>
    <t>MÍNIMO Asturias</t>
  </si>
  <si>
    <t>TARIFA ASTURIAS</t>
  </si>
  <si>
    <t>MÍNIMO Canarias</t>
  </si>
  <si>
    <t>TARIFA CANARIAS</t>
  </si>
  <si>
    <t>MÍNIMO C-La Mancha</t>
  </si>
  <si>
    <t>TARIFA CASTILLA LA MANCHA</t>
  </si>
  <si>
    <t>MÍNIMO Cataluña</t>
  </si>
  <si>
    <t>TARIFA CATALUÑA</t>
  </si>
  <si>
    <t>MÍNIMO Madrid</t>
  </si>
  <si>
    <t>TARIFA MADRID</t>
  </si>
  <si>
    <t>MÍNIMO Murcia</t>
  </si>
  <si>
    <t>TARIFA MURCIA</t>
  </si>
  <si>
    <t>TARIFA VALENCIA</t>
  </si>
  <si>
    <t>MÍNIMO Valencia</t>
  </si>
  <si>
    <r>
      <t xml:space="preserve">Discapacitado (grado de discapacidad </t>
    </r>
    <r>
      <rPr>
        <b/>
        <sz val="16"/>
        <color theme="9" tint="-0.249977111117893"/>
        <rFont val="Calibri"/>
        <family val="2"/>
        <scheme val="minor"/>
      </rPr>
      <t xml:space="preserve">mayor o igual </t>
    </r>
    <r>
      <rPr>
        <b/>
        <sz val="16"/>
        <color theme="1"/>
        <rFont val="Calibri"/>
        <scheme val="minor"/>
      </rPr>
      <t xml:space="preserve">al 65%) Responda </t>
    </r>
    <r>
      <rPr>
        <b/>
        <sz val="16"/>
        <color rgb="FF008000"/>
        <rFont val="Calibri"/>
        <scheme val="minor"/>
      </rPr>
      <t>SÍ</t>
    </r>
    <r>
      <rPr>
        <b/>
        <sz val="16"/>
        <color theme="1"/>
        <rFont val="Calibri"/>
        <scheme val="minor"/>
      </rPr>
      <t xml:space="preserve"> o </t>
    </r>
    <r>
      <rPr>
        <b/>
        <sz val="16"/>
        <color rgb="FFFF0000"/>
        <rFont val="Calibri"/>
        <scheme val="minor"/>
      </rPr>
      <t>NO</t>
    </r>
  </si>
  <si>
    <r>
      <t xml:space="preserve">Nº de hijos menores de 25 años </t>
    </r>
    <r>
      <rPr>
        <b/>
        <sz val="12"/>
        <color theme="1"/>
        <rFont val="Calibri"/>
        <family val="2"/>
        <scheme val="minor"/>
      </rPr>
      <t>(que perciban rendimientos inferiores a 8.000€)</t>
    </r>
  </si>
  <si>
    <r>
      <t>Nº de ascendientes o descendientes discapacitados  (grado de discapacidad</t>
    </r>
    <r>
      <rPr>
        <b/>
        <sz val="14"/>
        <color theme="9" tint="-0.249977111117893"/>
        <rFont val="Calibri"/>
        <family val="2"/>
        <scheme val="minor"/>
      </rPr>
      <t xml:space="preserve"> mayor o igual</t>
    </r>
    <r>
      <rPr>
        <b/>
        <sz val="14"/>
        <color theme="1"/>
        <rFont val="Calibri"/>
        <scheme val="minor"/>
      </rPr>
      <t xml:space="preserve"> al 65%)</t>
    </r>
  </si>
  <si>
    <t>Discapacitados +65%</t>
  </si>
  <si>
    <t>DISCAPACITADO +65%</t>
  </si>
  <si>
    <t>SI</t>
  </si>
  <si>
    <t>SUMA TOTAL</t>
  </si>
  <si>
    <t>ISLAS BALEARES MÍNIMOS</t>
  </si>
  <si>
    <t>Se incrementan en un 10%: El mínimo del contribuyente mayor de 65 años, El mínimo para el tercer descendiente y el mínimo por el cuarto y los siguientes descendientes,  El mínimo por discapacidad.</t>
  </si>
  <si>
    <t>general</t>
  </si>
  <si>
    <t>edad &gt; 65 años</t>
  </si>
  <si>
    <t>edad &gt; 75 años</t>
  </si>
  <si>
    <t>Illes Balears  2016</t>
  </si>
  <si>
    <t>Mínimo del contribuyente</t>
  </si>
  <si>
    <t>Mínimo por descendientes</t>
  </si>
  <si>
    <t>1º</t>
  </si>
  <si>
    <t>2º</t>
  </si>
  <si>
    <t>3º</t>
  </si>
  <si>
    <t>4º y siguientes</t>
  </si>
  <si>
    <t>edad &lt; a 3 años se aumenta el mínimo en</t>
  </si>
  <si>
    <t xml:space="preserve">en caso de fallecimiento  </t>
  </si>
  <si>
    <t>Mínimo por ascendientes</t>
  </si>
  <si>
    <t>&gt; 75 años</t>
  </si>
  <si>
    <t>Mínimo por discapacidad del contribuyente, ascendientes o descendientes</t>
  </si>
  <si>
    <t>gastos de asistencia</t>
  </si>
  <si>
    <r>
      <t xml:space="preserve">grado </t>
    </r>
    <r>
      <rPr>
        <b/>
        <sz val="11"/>
        <rFont val="Symbol"/>
        <family val="1"/>
        <charset val="2"/>
      </rPr>
      <t>³</t>
    </r>
    <r>
      <rPr>
        <b/>
        <sz val="11"/>
        <rFont val="Times New Roman"/>
        <family val="1"/>
      </rPr>
      <t xml:space="preserve"> 33 % y &lt; 65%</t>
    </r>
  </si>
  <si>
    <r>
      <t xml:space="preserve"> grado </t>
    </r>
    <r>
      <rPr>
        <b/>
        <sz val="11"/>
        <rFont val="Symbol"/>
        <family val="1"/>
        <charset val="2"/>
      </rPr>
      <t>³</t>
    </r>
    <r>
      <rPr>
        <b/>
        <sz val="11"/>
        <rFont val="Times New Roman"/>
        <family val="1"/>
      </rPr>
      <t xml:space="preserve"> 65%</t>
    </r>
  </si>
  <si>
    <t>TARIFA EXTREMADURA</t>
  </si>
  <si>
    <t>MÍNIMO Extremadura</t>
  </si>
  <si>
    <t>%</t>
  </si>
  <si>
    <r>
      <t>Discapacitado (grado de discapacidad</t>
    </r>
    <r>
      <rPr>
        <b/>
        <sz val="16"/>
        <color theme="4" tint="-0.249977111117893"/>
        <rFont val="Calibri"/>
        <scheme val="minor"/>
      </rPr>
      <t xml:space="preserve"> superior</t>
    </r>
    <r>
      <rPr>
        <b/>
        <sz val="16"/>
        <color theme="1"/>
        <rFont val="Calibri"/>
        <scheme val="minor"/>
      </rPr>
      <t xml:space="preserve"> al 33% e </t>
    </r>
    <r>
      <rPr>
        <b/>
        <sz val="16"/>
        <color theme="3" tint="0.39997558519241921"/>
        <rFont val="Calibri"/>
        <family val="2"/>
        <scheme val="minor"/>
      </rPr>
      <t>INFERIOR</t>
    </r>
    <r>
      <rPr>
        <b/>
        <sz val="16"/>
        <color theme="1"/>
        <rFont val="Calibri"/>
        <scheme val="minor"/>
      </rPr>
      <t xml:space="preserve"> al 65%) Responda </t>
    </r>
    <r>
      <rPr>
        <b/>
        <sz val="16"/>
        <color rgb="FF008000"/>
        <rFont val="Calibri"/>
        <scheme val="minor"/>
      </rPr>
      <t>SÍ</t>
    </r>
    <r>
      <rPr>
        <b/>
        <sz val="16"/>
        <color theme="1"/>
        <rFont val="Calibri"/>
        <scheme val="minor"/>
      </rPr>
      <t xml:space="preserve"> o </t>
    </r>
    <r>
      <rPr>
        <b/>
        <sz val="16"/>
        <color rgb="FFFF0000"/>
        <rFont val="Calibri"/>
        <scheme val="minor"/>
      </rPr>
      <t>NO</t>
    </r>
  </si>
  <si>
    <r>
      <t xml:space="preserve">Nº de ascendientes o descendientes discapacitados (grado de discapacidad </t>
    </r>
    <r>
      <rPr>
        <b/>
        <sz val="14"/>
        <color theme="4" tint="-0.249977111117893"/>
        <rFont val="Calibri"/>
        <scheme val="minor"/>
      </rPr>
      <t>superior</t>
    </r>
    <r>
      <rPr>
        <b/>
        <sz val="14"/>
        <color theme="1"/>
        <rFont val="Calibri"/>
        <scheme val="minor"/>
      </rPr>
      <t xml:space="preserve"> al 33% e</t>
    </r>
    <r>
      <rPr>
        <b/>
        <sz val="14"/>
        <color theme="3" tint="0.39997558519241921"/>
        <rFont val="Calibri"/>
        <family val="2"/>
        <scheme val="minor"/>
      </rPr>
      <t xml:space="preserve"> INFERIOR</t>
    </r>
    <r>
      <rPr>
        <b/>
        <sz val="14"/>
        <color theme="1"/>
        <rFont val="Calibri"/>
        <scheme val="minor"/>
      </rPr>
      <t xml:space="preserve"> al 65%)</t>
    </r>
  </si>
  <si>
    <r>
      <t xml:space="preserve">De los anteriores, indicar el nº de hijos menores de 6 años </t>
    </r>
    <r>
      <rPr>
        <b/>
        <sz val="14"/>
        <color rgb="FFFF0000"/>
        <rFont val="Calibri"/>
        <scheme val="minor"/>
      </rPr>
      <t>(exclusivamente para residentes en el País Vasco)</t>
    </r>
  </si>
  <si>
    <t>TERRITORIO COMÚN</t>
  </si>
  <si>
    <t>ESTADO</t>
  </si>
  <si>
    <t>MADRID MÍNIMOS</t>
  </si>
  <si>
    <t>% RETENCIÓN</t>
  </si>
  <si>
    <t>RETENCIÓN</t>
  </si>
  <si>
    <t>importe anual de retención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</si>
</sst>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8"/>
      <color rgb="FFFF0000"/>
      <name val="Calibri"/>
      <scheme val="minor"/>
    </font>
    <font>
      <b/>
      <sz val="16"/>
      <color rgb="FF008000"/>
      <name val="Calibri"/>
      <scheme val="minor"/>
    </font>
    <font>
      <b/>
      <sz val="14"/>
      <color rgb="FF008000"/>
      <name val="Calibri"/>
      <scheme val="minor"/>
    </font>
    <font>
      <b/>
      <sz val="12"/>
      <color rgb="FF333333"/>
      <name val="Verdana"/>
    </font>
    <font>
      <b/>
      <sz val="14"/>
      <color rgb="FFFF0000"/>
      <name val="Calibri"/>
      <scheme val="minor"/>
    </font>
    <font>
      <sz val="12"/>
      <color theme="1"/>
      <name val="Verdana"/>
    </font>
    <font>
      <b/>
      <sz val="14"/>
      <color rgb="FFFF0000"/>
      <name val="Verdana"/>
    </font>
    <font>
      <b/>
      <sz val="12"/>
      <color theme="1"/>
      <name val="Verdana"/>
    </font>
    <font>
      <b/>
      <sz val="12"/>
      <color rgb="FFC100C3"/>
      <name val="Verdana"/>
    </font>
    <font>
      <b/>
      <sz val="16"/>
      <color rgb="FF008000"/>
      <name val="Verdana"/>
    </font>
    <font>
      <sz val="14"/>
      <color rgb="FFC100C3"/>
      <name val="Verdana"/>
    </font>
    <font>
      <b/>
      <sz val="20"/>
      <color theme="1"/>
      <name val="Verdana"/>
    </font>
    <font>
      <b/>
      <sz val="16"/>
      <color rgb="FFFF0000"/>
      <name val="Calibri"/>
      <scheme val="minor"/>
    </font>
    <font>
      <b/>
      <sz val="12"/>
      <color theme="1"/>
      <name val="Verdana"/>
      <family val="2"/>
    </font>
    <font>
      <b/>
      <sz val="14"/>
      <color rgb="FFFF0000"/>
      <name val="Verdan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0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11"/>
      <name val="Times New Roman"/>
      <family val="1"/>
    </font>
    <font>
      <b/>
      <sz val="11"/>
      <name val="Symbol"/>
      <family val="1"/>
      <charset val="2"/>
    </font>
    <font>
      <b/>
      <sz val="12"/>
      <color rgb="FFFF008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100C3"/>
      <name val="Calibri"/>
      <family val="2"/>
      <scheme val="minor"/>
    </font>
    <font>
      <b/>
      <sz val="16"/>
      <color theme="4" tint="-0.249977111117893"/>
      <name val="Calibri"/>
      <scheme val="minor"/>
    </font>
    <font>
      <b/>
      <sz val="14"/>
      <color theme="4" tint="-0.249977111117893"/>
      <name val="Calibri"/>
      <scheme val="minor"/>
    </font>
    <font>
      <b/>
      <sz val="16"/>
      <color theme="1"/>
      <name val="Verdana"/>
    </font>
    <font>
      <b/>
      <sz val="12"/>
      <color rgb="FFFF0000"/>
      <name val="Verdana"/>
    </font>
    <font>
      <b/>
      <sz val="10"/>
      <color theme="1"/>
      <name val="Verdana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AEDD"/>
        <bgColor indexed="64"/>
      </patternFill>
    </fill>
    <fill>
      <patternFill patternType="solid">
        <fgColor rgb="FFFFFD9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EA5D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EBFF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4" borderId="0" xfId="0" applyFill="1"/>
    <xf numFmtId="4" fontId="10" fillId="8" borderId="0" xfId="0" applyNumberFormat="1" applyFont="1" applyFill="1" applyBorder="1"/>
    <xf numFmtId="4" fontId="10" fillId="8" borderId="9" xfId="0" applyNumberFormat="1" applyFont="1" applyFill="1" applyBorder="1"/>
    <xf numFmtId="4" fontId="10" fillId="8" borderId="11" xfId="0" applyNumberFormat="1" applyFont="1" applyFill="1" applyBorder="1"/>
    <xf numFmtId="0" fontId="0" fillId="10" borderId="0" xfId="0" applyFill="1"/>
    <xf numFmtId="4" fontId="5" fillId="11" borderId="1" xfId="0" applyNumberFormat="1" applyFont="1" applyFill="1" applyBorder="1" applyAlignment="1">
      <alignment horizontal="center" vertical="center"/>
    </xf>
    <xf numFmtId="4" fontId="10" fillId="12" borderId="0" xfId="0" applyNumberFormat="1" applyFont="1" applyFill="1" applyBorder="1"/>
    <xf numFmtId="4" fontId="10" fillId="12" borderId="12" xfId="0" applyNumberFormat="1" applyFont="1" applyFill="1" applyBorder="1"/>
    <xf numFmtId="10" fontId="10" fillId="12" borderId="10" xfId="0" applyNumberFormat="1" applyFont="1" applyFill="1" applyBorder="1"/>
    <xf numFmtId="10" fontId="10" fillId="12" borderId="13" xfId="0" applyNumberFormat="1" applyFont="1" applyFill="1" applyBorder="1"/>
    <xf numFmtId="0" fontId="12" fillId="3" borderId="0" xfId="0" applyFont="1" applyFill="1"/>
    <xf numFmtId="4" fontId="15" fillId="0" borderId="0" xfId="0" applyNumberFormat="1" applyFont="1" applyFill="1" applyAlignment="1">
      <alignment horizontal="center" vertical="center"/>
    </xf>
    <xf numFmtId="4" fontId="16" fillId="6" borderId="2" xfId="0" applyNumberFormat="1" applyFont="1" applyFill="1" applyBorder="1" applyAlignment="1">
      <alignment horizontal="center" vertical="center"/>
    </xf>
    <xf numFmtId="4" fontId="16" fillId="6" borderId="3" xfId="0" applyNumberFormat="1" applyFont="1" applyFill="1" applyBorder="1" applyAlignment="1">
      <alignment horizontal="center" vertical="center"/>
    </xf>
    <xf numFmtId="0" fontId="12" fillId="0" borderId="0" xfId="0" applyFont="1"/>
    <xf numFmtId="0" fontId="14" fillId="3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4" fontId="18" fillId="13" borderId="1" xfId="0" applyNumberFormat="1" applyFont="1" applyFill="1" applyBorder="1" applyAlignment="1">
      <alignment horizontal="center" vertical="center"/>
    </xf>
    <xf numFmtId="4" fontId="10" fillId="8" borderId="12" xfId="0" applyNumberFormat="1" applyFont="1" applyFill="1" applyBorder="1"/>
    <xf numFmtId="0" fontId="5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0" fillId="10" borderId="0" xfId="0" applyNumberFormat="1" applyFill="1"/>
    <xf numFmtId="4" fontId="5" fillId="11" borderId="4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 wrapText="1"/>
    </xf>
    <xf numFmtId="0" fontId="12" fillId="17" borderId="0" xfId="0" applyFont="1" applyFill="1"/>
    <xf numFmtId="4" fontId="18" fillId="16" borderId="1" xfId="0" applyNumberFormat="1" applyFont="1" applyFill="1" applyBorder="1" applyAlignment="1">
      <alignment horizontal="center" vertical="center"/>
    </xf>
    <xf numFmtId="0" fontId="10" fillId="18" borderId="6" xfId="0" applyFont="1" applyFill="1" applyBorder="1"/>
    <xf numFmtId="4" fontId="10" fillId="18" borderId="9" xfId="0" applyNumberFormat="1" applyFont="1" applyFill="1" applyBorder="1"/>
    <xf numFmtId="4" fontId="10" fillId="18" borderId="11" xfId="0" applyNumberFormat="1" applyFont="1" applyFill="1" applyBorder="1"/>
    <xf numFmtId="4" fontId="10" fillId="18" borderId="7" xfId="0" applyNumberFormat="1" applyFont="1" applyFill="1" applyBorder="1"/>
    <xf numFmtId="4" fontId="10" fillId="18" borderId="0" xfId="0" applyNumberFormat="1" applyFont="1" applyFill="1" applyBorder="1"/>
    <xf numFmtId="4" fontId="10" fillId="18" borderId="12" xfId="0" applyNumberFormat="1" applyFont="1" applyFill="1" applyBorder="1"/>
    <xf numFmtId="0" fontId="10" fillId="15" borderId="7" xfId="0" applyFont="1" applyFill="1" applyBorder="1"/>
    <xf numFmtId="4" fontId="10" fillId="15" borderId="0" xfId="0" applyNumberFormat="1" applyFont="1" applyFill="1" applyBorder="1"/>
    <xf numFmtId="4" fontId="10" fillId="15" borderId="12" xfId="0" applyNumberFormat="1" applyFont="1" applyFill="1" applyBorder="1"/>
    <xf numFmtId="10" fontId="10" fillId="15" borderId="8" xfId="0" applyNumberFormat="1" applyFont="1" applyFill="1" applyBorder="1"/>
    <xf numFmtId="10" fontId="10" fillId="15" borderId="10" xfId="0" applyNumberFormat="1" applyFont="1" applyFill="1" applyBorder="1"/>
    <xf numFmtId="10" fontId="10" fillId="15" borderId="13" xfId="0" applyNumberFormat="1" applyFont="1" applyFill="1" applyBorder="1"/>
    <xf numFmtId="0" fontId="1" fillId="0" borderId="0" xfId="0" applyFont="1"/>
    <xf numFmtId="0" fontId="32" fillId="6" borderId="0" xfId="0" applyFont="1" applyFill="1" applyAlignment="1">
      <alignment horizontal="center" vertical="center"/>
    </xf>
    <xf numFmtId="0" fontId="32" fillId="6" borderId="0" xfId="0" applyFont="1" applyFill="1"/>
    <xf numFmtId="4" fontId="32" fillId="6" borderId="1" xfId="0" applyNumberFormat="1" applyFont="1" applyFill="1" applyBorder="1"/>
    <xf numFmtId="4" fontId="32" fillId="6" borderId="0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3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3" fontId="1" fillId="0" borderId="0" xfId="0" applyNumberFormat="1" applyFont="1"/>
    <xf numFmtId="3" fontId="31" fillId="12" borderId="0" xfId="0" applyNumberFormat="1" applyFont="1" applyFill="1" applyBorder="1" applyAlignment="1">
      <alignment horizontal="center" vertical="center"/>
    </xf>
    <xf numFmtId="3" fontId="31" fillId="12" borderId="0" xfId="0" applyNumberFormat="1" applyFont="1" applyFill="1" applyAlignment="1">
      <alignment horizontal="center" vertical="center"/>
    </xf>
    <xf numFmtId="4" fontId="31" fillId="12" borderId="0" xfId="0" applyNumberFormat="1" applyFont="1" applyFill="1" applyAlignment="1">
      <alignment horizontal="center" vertical="center"/>
    </xf>
    <xf numFmtId="3" fontId="31" fillId="12" borderId="0" xfId="0" applyNumberFormat="1" applyFont="1" applyFill="1"/>
    <xf numFmtId="0" fontId="31" fillId="7" borderId="0" xfId="0" applyFont="1" applyFill="1" applyBorder="1" applyAlignment="1">
      <alignment horizontal="center" vertical="center"/>
    </xf>
    <xf numFmtId="0" fontId="1" fillId="7" borderId="0" xfId="0" applyFont="1" applyFill="1"/>
    <xf numFmtId="3" fontId="31" fillId="7" borderId="0" xfId="0" applyNumberFormat="1" applyFont="1" applyFill="1" applyAlignment="1">
      <alignment horizontal="center" vertical="center"/>
    </xf>
    <xf numFmtId="3" fontId="31" fillId="7" borderId="1" xfId="0" applyNumberFormat="1" applyFont="1" applyFill="1" applyBorder="1" applyAlignment="1">
      <alignment horizontal="center" vertical="center"/>
    </xf>
    <xf numFmtId="0" fontId="1" fillId="15" borderId="0" xfId="0" applyFont="1" applyFill="1"/>
    <xf numFmtId="0" fontId="1" fillId="15" borderId="0" xfId="0" applyFont="1" applyFill="1" applyAlignment="1">
      <alignment vertical="center"/>
    </xf>
    <xf numFmtId="0" fontId="35" fillId="0" borderId="17" xfId="0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  <xf numFmtId="0" fontId="35" fillId="22" borderId="17" xfId="0" applyFont="1" applyFill="1" applyBorder="1" applyAlignment="1">
      <alignment horizontal="center" vertical="center" wrapText="1"/>
    </xf>
    <xf numFmtId="3" fontId="35" fillId="22" borderId="18" xfId="0" applyNumberFormat="1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39" fillId="9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41" fillId="16" borderId="2" xfId="0" applyFont="1" applyFill="1" applyBorder="1" applyAlignment="1">
      <alignment horizontal="center" vertical="center"/>
    </xf>
    <xf numFmtId="4" fontId="41" fillId="16" borderId="3" xfId="0" applyNumberFormat="1" applyFont="1" applyFill="1" applyBorder="1" applyAlignment="1">
      <alignment horizontal="center" vertical="center"/>
    </xf>
    <xf numFmtId="4" fontId="10" fillId="8" borderId="6" xfId="0" applyNumberFormat="1" applyFont="1" applyFill="1" applyBorder="1"/>
    <xf numFmtId="4" fontId="10" fillId="12" borderId="7" xfId="0" applyNumberFormat="1" applyFont="1" applyFill="1" applyBorder="1"/>
    <xf numFmtId="4" fontId="10" fillId="8" borderId="7" xfId="0" applyNumberFormat="1" applyFont="1" applyFill="1" applyBorder="1"/>
    <xf numFmtId="10" fontId="10" fillId="12" borderId="8" xfId="0" applyNumberFormat="1" applyFont="1" applyFill="1" applyBorder="1"/>
    <xf numFmtId="10" fontId="0" fillId="10" borderId="0" xfId="0" applyNumberFormat="1" applyFill="1"/>
    <xf numFmtId="10" fontId="5" fillId="11" borderId="0" xfId="0" applyNumberFormat="1" applyFont="1" applyFill="1" applyAlignment="1">
      <alignment horizontal="center" vertical="center"/>
    </xf>
    <xf numFmtId="10" fontId="5" fillId="11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left" vertical="center"/>
    </xf>
    <xf numFmtId="4" fontId="34" fillId="9" borderId="24" xfId="0" applyNumberFormat="1" applyFont="1" applyFill="1" applyBorder="1" applyAlignment="1">
      <alignment horizontal="center" vertical="center"/>
    </xf>
    <xf numFmtId="4" fontId="33" fillId="9" borderId="4" xfId="0" applyNumberFormat="1" applyFont="1" applyFill="1" applyBorder="1" applyAlignment="1">
      <alignment horizontal="center" vertical="center"/>
    </xf>
    <xf numFmtId="0" fontId="1" fillId="9" borderId="25" xfId="0" applyFont="1" applyFill="1" applyBorder="1"/>
    <xf numFmtId="0" fontId="31" fillId="15" borderId="0" xfId="0" applyFont="1" applyFill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0" fillId="9" borderId="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0" fontId="38" fillId="6" borderId="2" xfId="0" applyFont="1" applyFill="1" applyBorder="1" applyAlignment="1">
      <alignment horizontal="center" vertical="center"/>
    </xf>
    <xf numFmtId="4" fontId="38" fillId="6" borderId="3" xfId="0" applyNumberFormat="1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center" vertical="center"/>
    </xf>
    <xf numFmtId="4" fontId="37" fillId="7" borderId="3" xfId="0" applyNumberFormat="1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left" vertical="center"/>
    </xf>
    <xf numFmtId="10" fontId="32" fillId="6" borderId="1" xfId="0" applyNumberFormat="1" applyFont="1" applyFill="1" applyBorder="1"/>
    <xf numFmtId="0" fontId="5" fillId="24" borderId="1" xfId="0" applyFont="1" applyFill="1" applyBorder="1" applyAlignment="1">
      <alignment horizontal="left" vertical="center"/>
    </xf>
    <xf numFmtId="4" fontId="12" fillId="17" borderId="0" xfId="0" applyNumberFormat="1" applyFont="1" applyFill="1"/>
    <xf numFmtId="4" fontId="5" fillId="24" borderId="1" xfId="0" applyNumberFormat="1" applyFont="1" applyFill="1" applyBorder="1" applyAlignment="1">
      <alignment horizontal="center" vertical="center"/>
    </xf>
    <xf numFmtId="10" fontId="5" fillId="24" borderId="0" xfId="0" applyNumberFormat="1" applyFont="1" applyFill="1" applyAlignment="1">
      <alignment horizontal="center" vertical="center"/>
    </xf>
    <xf numFmtId="10" fontId="5" fillId="24" borderId="1" xfId="0" applyNumberFormat="1" applyFont="1" applyFill="1" applyBorder="1" applyAlignment="1">
      <alignment horizontal="center" vertical="center"/>
    </xf>
    <xf numFmtId="4" fontId="5" fillId="24" borderId="3" xfId="0" applyNumberFormat="1" applyFont="1" applyFill="1" applyBorder="1" applyAlignment="1">
      <alignment horizontal="center" vertical="center"/>
    </xf>
    <xf numFmtId="0" fontId="5" fillId="23" borderId="25" xfId="0" applyFont="1" applyFill="1" applyBorder="1" applyAlignment="1">
      <alignment horizontal="left" vertical="center"/>
    </xf>
    <xf numFmtId="0" fontId="24" fillId="24" borderId="1" xfId="0" applyFont="1" applyFill="1" applyBorder="1"/>
    <xf numFmtId="4" fontId="44" fillId="2" borderId="0" xfId="0" applyNumberFormat="1" applyFont="1" applyFill="1" applyAlignment="1">
      <alignment horizontal="center" vertical="center"/>
    </xf>
    <xf numFmtId="0" fontId="14" fillId="25" borderId="0" xfId="0" applyFont="1" applyFill="1" applyAlignment="1">
      <alignment horizontal="center" vertical="center"/>
    </xf>
    <xf numFmtId="0" fontId="46" fillId="25" borderId="2" xfId="0" applyFont="1" applyFill="1" applyBorder="1" applyAlignment="1">
      <alignment horizontal="center" vertical="center"/>
    </xf>
    <xf numFmtId="0" fontId="45" fillId="25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0" fontId="5" fillId="26" borderId="1" xfId="0" applyNumberFormat="1" applyFont="1" applyFill="1" applyBorder="1" applyAlignment="1">
      <alignment horizontal="center" vertical="center"/>
    </xf>
    <xf numFmtId="4" fontId="5" fillId="26" borderId="1" xfId="0" applyNumberFormat="1" applyFont="1" applyFill="1" applyBorder="1" applyAlignment="1">
      <alignment horizontal="center" vertical="center"/>
    </xf>
    <xf numFmtId="0" fontId="37" fillId="7" borderId="2" xfId="0" applyFont="1" applyFill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35" fillId="21" borderId="19" xfId="0" applyFont="1" applyFill="1" applyBorder="1" applyAlignment="1">
      <alignment horizontal="center" vertical="center" wrapText="1"/>
    </xf>
    <xf numFmtId="0" fontId="35" fillId="21" borderId="20" xfId="0" applyFont="1" applyFill="1" applyBorder="1" applyAlignment="1">
      <alignment horizontal="center" vertical="center" wrapText="1"/>
    </xf>
    <xf numFmtId="0" fontId="35" fillId="20" borderId="19" xfId="0" applyFont="1" applyFill="1" applyBorder="1" applyAlignment="1">
      <alignment horizontal="center" vertical="center" wrapText="1"/>
    </xf>
    <xf numFmtId="0" fontId="35" fillId="20" borderId="20" xfId="0" applyFont="1" applyFill="1" applyBorder="1" applyAlignment="1">
      <alignment horizontal="center" vertical="center" wrapText="1"/>
    </xf>
    <xf numFmtId="0" fontId="30" fillId="19" borderId="14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19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shrinkToFit="1"/>
    </xf>
    <xf numFmtId="0" fontId="13" fillId="5" borderId="2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4" fontId="5" fillId="14" borderId="1" xfId="0" applyNumberFormat="1" applyFont="1" applyFill="1" applyBorder="1" applyAlignment="1" applyProtection="1">
      <alignment horizontal="center" vertical="center"/>
      <protection locked="0"/>
    </xf>
    <xf numFmtId="3" fontId="5" fillId="14" borderId="1" xfId="0" applyNumberFormat="1" applyFont="1" applyFill="1" applyBorder="1" applyAlignment="1" applyProtection="1">
      <alignment horizontal="center" vertical="center"/>
      <protection locked="0"/>
    </xf>
    <xf numFmtId="3" fontId="24" fillId="14" borderId="1" xfId="0" applyNumberFormat="1" applyFont="1" applyFill="1" applyBorder="1" applyAlignment="1" applyProtection="1">
      <alignment horizontal="center" vertical="center"/>
      <protection locked="0"/>
    </xf>
    <xf numFmtId="3" fontId="5" fillId="14" borderId="4" xfId="0" applyNumberFormat="1" applyFont="1" applyFill="1" applyBorder="1" applyAlignment="1" applyProtection="1">
      <alignment horizontal="center" vertical="center"/>
      <protection locked="0"/>
    </xf>
    <xf numFmtId="49" fontId="24" fillId="14" borderId="1" xfId="0" applyNumberFormat="1" applyFont="1" applyFill="1" applyBorder="1" applyAlignment="1" applyProtection="1">
      <alignment horizontal="center" vertical="center"/>
      <protection locked="0"/>
    </xf>
  </cellXfs>
  <cellStyles count="6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Normal" xfId="0" builtinId="0"/>
  </cellStyles>
  <dxfs count="0"/>
  <tableStyles count="0" defaultTableStyle="TableStyleMedium9" defaultPivotStyle="PivotStyleMedium4"/>
  <colors>
    <mruColors>
      <color rgb="FFFF8585"/>
      <color rgb="FFFFB3B3"/>
      <color rgb="FFFFFFCC"/>
      <color rgb="FFEEB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117921084320701E-2"/>
          <c:y val="2.55359676612949E-2"/>
          <c:w val="0.90077569188766504"/>
          <c:h val="0.700100286097718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Ref>
              <c:f>RESULTADOS!$H$3:$H$18</c:f>
              <c:strCache>
                <c:ptCount val="16"/>
                <c:pt idx="0">
                  <c:v>ESTADO</c:v>
                </c:pt>
                <c:pt idx="1">
                  <c:v>CATALUÑA</c:v>
                </c:pt>
                <c:pt idx="2">
                  <c:v>VALENCIA</c:v>
                </c:pt>
                <c:pt idx="3">
                  <c:v>EXTREMADURA</c:v>
                </c:pt>
                <c:pt idx="4">
                  <c:v>ILLES BALEARS</c:v>
                </c:pt>
                <c:pt idx="5">
                  <c:v>ARAGÓN</c:v>
                </c:pt>
                <c:pt idx="6">
                  <c:v>REGIÓN DE MURCIA</c:v>
                </c:pt>
                <c:pt idx="7">
                  <c:v>PRINCIPADO DE ASTURIAS</c:v>
                </c:pt>
                <c:pt idx="8">
                  <c:v>ISLAS CANARIAS</c:v>
                </c:pt>
                <c:pt idx="9">
                  <c:v>ANDALUCÍA</c:v>
                </c:pt>
                <c:pt idx="10">
                  <c:v>CANTABRIA</c:v>
                </c:pt>
                <c:pt idx="11">
                  <c:v>CASTILLA LA MANCHA</c:v>
                </c:pt>
                <c:pt idx="12">
                  <c:v>LA RIOJA</c:v>
                </c:pt>
                <c:pt idx="13">
                  <c:v>CASTILLA Y LEÓN</c:v>
                </c:pt>
                <c:pt idx="14">
                  <c:v>GALICIA</c:v>
                </c:pt>
                <c:pt idx="15">
                  <c:v>MADRID</c:v>
                </c:pt>
              </c:strCache>
            </c:strRef>
          </c:cat>
          <c:val>
            <c:numRef>
              <c:f>RESULTADOS!$I$3:$I$18</c:f>
              <c:numCache>
                <c:formatCode>#,##0.00</c:formatCode>
                <c:ptCount val="16"/>
                <c:pt idx="0">
                  <c:v>3534.75</c:v>
                </c:pt>
                <c:pt idx="1">
                  <c:v>3744.9769999999999</c:v>
                </c:pt>
                <c:pt idx="2">
                  <c:v>3729.86276</c:v>
                </c:pt>
                <c:pt idx="3">
                  <c:v>3648.5625</c:v>
                </c:pt>
                <c:pt idx="4">
                  <c:v>3633.46875</c:v>
                </c:pt>
                <c:pt idx="5">
                  <c:v>3614.0625</c:v>
                </c:pt>
                <c:pt idx="6">
                  <c:v>3614.0625</c:v>
                </c:pt>
                <c:pt idx="7">
                  <c:v>3606.9769999999999</c:v>
                </c:pt>
                <c:pt idx="8">
                  <c:v>3572.4756000000002</c:v>
                </c:pt>
                <c:pt idx="9">
                  <c:v>3569.25</c:v>
                </c:pt>
                <c:pt idx="10">
                  <c:v>3534.75</c:v>
                </c:pt>
                <c:pt idx="11">
                  <c:v>3534.75</c:v>
                </c:pt>
                <c:pt idx="12">
                  <c:v>3534.75</c:v>
                </c:pt>
                <c:pt idx="13">
                  <c:v>3522.625</c:v>
                </c:pt>
                <c:pt idx="14">
                  <c:v>3521.4425000000001</c:v>
                </c:pt>
                <c:pt idx="15">
                  <c:v>3504.4899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11320"/>
        <c:axId val="126108968"/>
      </c:barChart>
      <c:catAx>
        <c:axId val="181211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 anchor="ctr" anchorCtr="0"/>
          <a:lstStyle/>
          <a:p>
            <a:pPr>
              <a:defRPr sz="1100"/>
            </a:pPr>
            <a:endParaRPr lang="es-ES"/>
          </a:p>
        </c:txPr>
        <c:crossAx val="126108968"/>
        <c:crosses val="autoZero"/>
        <c:auto val="0"/>
        <c:lblAlgn val="ctr"/>
        <c:lblOffset val="100"/>
        <c:noMultiLvlLbl val="0"/>
      </c:catAx>
      <c:valAx>
        <c:axId val="12610896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ES"/>
          </a:p>
        </c:txPr>
        <c:crossAx val="181211320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ESULTADO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DATOS A INTRODUCIR'!A1"/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2032002</xdr:colOff>
      <xdr:row>12</xdr:row>
      <xdr:rowOff>330200</xdr:rowOff>
    </xdr:from>
    <xdr:to>
      <xdr:col>1</xdr:col>
      <xdr:colOff>6654801</xdr:colOff>
      <xdr:row>15</xdr:row>
      <xdr:rowOff>313265</xdr:rowOff>
    </xdr:to>
    <xdr:sp macro="" textlink="" fLocksText="0">
      <xdr:nvSpPr>
        <xdr:cNvPr id="2" name="Flecha a la derecha con muesca 1" title="PINCHA AQUÍ"/>
        <xdr:cNvSpPr/>
      </xdr:nvSpPr>
      <xdr:spPr>
        <a:xfrm>
          <a:off x="2455335" y="2980267"/>
          <a:ext cx="4622799" cy="1024465"/>
        </a:xfrm>
        <a:prstGeom prst="notchedRightArrow">
          <a:avLst/>
        </a:prstGeom>
        <a:gradFill flip="none" rotWithShape="1">
          <a:gsLst>
            <a:gs pos="0">
              <a:schemeClr val="accent2">
                <a:tint val="100000"/>
                <a:shade val="100000"/>
                <a:satMod val="130000"/>
              </a:schemeClr>
            </a:gs>
            <a:gs pos="100000">
              <a:schemeClr val="accent2">
                <a:tint val="50000"/>
                <a:shade val="100000"/>
                <a:satMod val="350000"/>
              </a:schemeClr>
            </a:gs>
          </a:gsLst>
          <a:lin ang="16200000" scaled="0"/>
          <a:tileRect/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rgbClr val="000000"/>
            </a:solidFill>
          </a:endParaRPr>
        </a:p>
      </xdr:txBody>
    </xdr:sp>
    <xdr:clientData/>
  </xdr:twoCellAnchor>
  <xdr:twoCellAnchor>
    <xdr:from>
      <xdr:col>1</xdr:col>
      <xdr:colOff>3663952</xdr:colOff>
      <xdr:row>13</xdr:row>
      <xdr:rowOff>333376</xdr:rowOff>
    </xdr:from>
    <xdr:to>
      <xdr:col>1</xdr:col>
      <xdr:colOff>5044017</xdr:colOff>
      <xdr:row>14</xdr:row>
      <xdr:rowOff>329142</xdr:rowOff>
    </xdr:to>
    <xdr:sp macro="" textlink="">
      <xdr:nvSpPr>
        <xdr:cNvPr id="3" name="CuadroTexto 2">
          <a:hlinkClick xmlns:r="http://schemas.openxmlformats.org/officeDocument/2006/relationships" r:id="rId1"/>
        </xdr:cNvPr>
        <xdr:cNvSpPr txBox="1"/>
      </xdr:nvSpPr>
      <xdr:spPr>
        <a:xfrm>
          <a:off x="4083052" y="4781551"/>
          <a:ext cx="1380065" cy="33866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>
              <a:latin typeface="Verdana"/>
              <a:cs typeface="Verdana"/>
            </a:rPr>
            <a:t>PINCHA AQUÍ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1725027</xdr:colOff>
      <xdr:row>19</xdr:row>
      <xdr:rowOff>136070</xdr:rowOff>
    </xdr:from>
    <xdr:to>
      <xdr:col>12</xdr:col>
      <xdr:colOff>529111</xdr:colOff>
      <xdr:row>23</xdr:row>
      <xdr:rowOff>185552</xdr:rowOff>
    </xdr:to>
    <xdr:sp macro="" textlink="">
      <xdr:nvSpPr>
        <xdr:cNvPr id="2" name="Flecha curvada hacia la derecha 1"/>
        <xdr:cNvSpPr/>
      </xdr:nvSpPr>
      <xdr:spPr>
        <a:xfrm>
          <a:off x="7130774" y="6259284"/>
          <a:ext cx="2812006" cy="1434937"/>
        </a:xfrm>
        <a:prstGeom prst="curved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13</xdr:col>
      <xdr:colOff>445325</xdr:colOff>
      <xdr:row>19</xdr:row>
      <xdr:rowOff>0</xdr:rowOff>
    </xdr:from>
    <xdr:to>
      <xdr:col>14</xdr:col>
      <xdr:colOff>1561626</xdr:colOff>
      <xdr:row>23</xdr:row>
      <xdr:rowOff>195352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2955" y="6123214"/>
          <a:ext cx="3120262" cy="1580806"/>
        </a:xfrm>
        <a:prstGeom prst="rect">
          <a:avLst/>
        </a:prstGeom>
      </xdr:spPr>
    </xdr:pic>
    <xdr:clientData/>
  </xdr:twoCellAnchor>
  <xdr:twoCellAnchor>
    <xdr:from>
      <xdr:col>10</xdr:col>
      <xdr:colOff>317500</xdr:colOff>
      <xdr:row>1</xdr:row>
      <xdr:rowOff>0</xdr:rowOff>
    </xdr:from>
    <xdr:to>
      <xdr:col>14</xdr:col>
      <xdr:colOff>1549400</xdr:colOff>
      <xdr:row>19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24742</xdr:colOff>
      <xdr:row>20</xdr:row>
      <xdr:rowOff>247403</xdr:rowOff>
    </xdr:from>
    <xdr:to>
      <xdr:col>12</xdr:col>
      <xdr:colOff>321625</xdr:colOff>
      <xdr:row>21</xdr:row>
      <xdr:rowOff>296882</xdr:rowOff>
    </xdr:to>
    <xdr:sp macro="" textlink="">
      <xdr:nvSpPr>
        <xdr:cNvPr id="3" name="CuadroTexto 2">
          <a:hlinkClick xmlns:r="http://schemas.openxmlformats.org/officeDocument/2006/relationships" r:id="rId3"/>
        </xdr:cNvPr>
        <xdr:cNvSpPr txBox="1"/>
      </xdr:nvSpPr>
      <xdr:spPr>
        <a:xfrm>
          <a:off x="7434450" y="6716981"/>
          <a:ext cx="2300844" cy="395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/>
            <a:t>Vuelva a introducir datos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4" sqref="C4"/>
    </sheetView>
  </sheetViews>
  <sheetFormatPr baseColWidth="10" defaultColWidth="26.375" defaultRowHeight="27" customHeight="1" x14ac:dyDescent="0.25"/>
  <cols>
    <col min="1" max="1" width="5.5" customWidth="1"/>
    <col min="2" max="2" width="109" customWidth="1"/>
  </cols>
  <sheetData>
    <row r="1" spans="1:8" ht="27" customHeight="1" thickBot="1" x14ac:dyDescent="0.3">
      <c r="A1" s="2"/>
      <c r="B1" s="2"/>
      <c r="C1" s="2"/>
      <c r="D1" s="2"/>
      <c r="E1" s="2"/>
      <c r="F1" s="2"/>
      <c r="G1" s="2"/>
      <c r="H1" s="2"/>
    </row>
    <row r="2" spans="1:8" ht="27" customHeight="1" thickBot="1" x14ac:dyDescent="0.3">
      <c r="A2" s="2"/>
      <c r="B2" s="22" t="s">
        <v>26</v>
      </c>
      <c r="C2" s="149">
        <v>25000</v>
      </c>
      <c r="D2" s="2"/>
      <c r="E2" s="2"/>
      <c r="F2" s="2"/>
      <c r="G2" s="2"/>
      <c r="H2" s="2"/>
    </row>
    <row r="3" spans="1:8" ht="27" customHeight="1" thickBot="1" x14ac:dyDescent="0.3">
      <c r="A3" s="2"/>
      <c r="B3" s="22" t="s">
        <v>16</v>
      </c>
      <c r="C3" s="150">
        <v>40</v>
      </c>
      <c r="D3" s="2"/>
      <c r="E3" s="2"/>
      <c r="F3" s="2"/>
      <c r="G3" s="2"/>
      <c r="H3" s="2"/>
    </row>
    <row r="4" spans="1:8" ht="27" customHeight="1" thickBot="1" x14ac:dyDescent="0.3">
      <c r="A4" s="2"/>
      <c r="B4" s="98" t="s">
        <v>108</v>
      </c>
      <c r="C4" s="151" t="s">
        <v>50</v>
      </c>
      <c r="D4" s="2"/>
      <c r="E4" s="2"/>
      <c r="F4" s="2"/>
      <c r="G4" s="2"/>
      <c r="H4" s="2"/>
    </row>
    <row r="5" spans="1:8" ht="27" customHeight="1" thickBot="1" x14ac:dyDescent="0.3">
      <c r="A5" s="2"/>
      <c r="B5" s="34" t="s">
        <v>78</v>
      </c>
      <c r="C5" s="151" t="s">
        <v>50</v>
      </c>
      <c r="D5" s="2"/>
      <c r="E5" s="2"/>
      <c r="F5" s="2"/>
      <c r="G5" s="2"/>
      <c r="H5" s="2"/>
    </row>
    <row r="6" spans="1:8" ht="27" customHeight="1" thickBot="1" x14ac:dyDescent="0.3">
      <c r="A6" s="2"/>
      <c r="B6" s="34" t="s">
        <v>79</v>
      </c>
      <c r="C6" s="150">
        <v>0</v>
      </c>
      <c r="D6" s="2"/>
      <c r="E6" s="2"/>
      <c r="F6" s="2"/>
      <c r="G6" s="2"/>
      <c r="H6" s="2"/>
    </row>
    <row r="7" spans="1:8" ht="24" thickBot="1" x14ac:dyDescent="0.3">
      <c r="A7" s="2"/>
      <c r="B7" s="23" t="s">
        <v>27</v>
      </c>
      <c r="C7" s="152">
        <v>0</v>
      </c>
      <c r="D7" s="2"/>
      <c r="E7" s="2"/>
      <c r="F7" s="2"/>
      <c r="G7" s="2"/>
      <c r="H7" s="2"/>
    </row>
    <row r="8" spans="1:8" ht="24" thickBot="1" x14ac:dyDescent="0.3">
      <c r="A8" s="2"/>
      <c r="B8" s="100" t="s">
        <v>110</v>
      </c>
      <c r="C8" s="152">
        <v>0</v>
      </c>
      <c r="D8" s="2"/>
      <c r="E8" s="2"/>
      <c r="F8" s="2"/>
      <c r="G8" s="2"/>
      <c r="H8" s="2"/>
    </row>
    <row r="9" spans="1:8" ht="24" thickBot="1" x14ac:dyDescent="0.3">
      <c r="A9" s="2"/>
      <c r="B9" s="24" t="s">
        <v>28</v>
      </c>
      <c r="C9" s="150">
        <v>0</v>
      </c>
      <c r="D9" s="2"/>
      <c r="E9" s="2"/>
      <c r="F9" s="2"/>
      <c r="G9" s="2"/>
      <c r="H9" s="2"/>
    </row>
    <row r="10" spans="1:8" ht="24" thickBot="1" x14ac:dyDescent="0.3">
      <c r="A10" s="2"/>
      <c r="B10" s="24" t="s">
        <v>20</v>
      </c>
      <c r="C10" s="150">
        <v>0</v>
      </c>
      <c r="D10" s="2"/>
      <c r="E10" s="2"/>
      <c r="F10" s="2"/>
      <c r="G10" s="2"/>
      <c r="H10" s="2"/>
    </row>
    <row r="11" spans="1:8" ht="38.25" thickBot="1" x14ac:dyDescent="0.3">
      <c r="A11" s="2"/>
      <c r="B11" s="24" t="s">
        <v>109</v>
      </c>
      <c r="C11" s="150">
        <v>0</v>
      </c>
      <c r="D11" s="2"/>
      <c r="E11" s="2"/>
      <c r="F11" s="2"/>
      <c r="G11" s="2"/>
      <c r="H11" s="2"/>
    </row>
    <row r="12" spans="1:8" ht="27" customHeight="1" thickBot="1" x14ac:dyDescent="0.3">
      <c r="A12" s="2"/>
      <c r="B12" s="35" t="s">
        <v>80</v>
      </c>
      <c r="C12" s="150">
        <v>0</v>
      </c>
      <c r="D12" s="2"/>
      <c r="E12" s="2"/>
      <c r="F12" s="2"/>
      <c r="G12" s="2"/>
      <c r="H12" s="2"/>
    </row>
    <row r="13" spans="1:8" ht="27" customHeight="1" thickBot="1" x14ac:dyDescent="0.3">
      <c r="A13" s="2"/>
      <c r="B13" s="25" t="s">
        <v>29</v>
      </c>
      <c r="C13" s="153" t="s">
        <v>83</v>
      </c>
      <c r="D13" s="2"/>
      <c r="E13" s="2"/>
      <c r="F13" s="2"/>
      <c r="G13" s="2"/>
      <c r="H13" s="2"/>
    </row>
    <row r="14" spans="1:8" ht="27" customHeight="1" x14ac:dyDescent="0.25">
      <c r="A14" s="2"/>
      <c r="B14" s="2"/>
      <c r="C14" s="2"/>
      <c r="D14" s="2"/>
      <c r="E14" s="2"/>
      <c r="F14" s="2"/>
      <c r="G14" s="2"/>
      <c r="H14" s="2"/>
    </row>
    <row r="15" spans="1:8" ht="27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27" customHeight="1" x14ac:dyDescent="0.25">
      <c r="A16" s="2"/>
      <c r="B16" s="2"/>
      <c r="C16" s="2"/>
      <c r="D16" s="2"/>
      <c r="E16" s="2"/>
      <c r="F16" s="2"/>
      <c r="G16" s="2"/>
      <c r="H16" s="2"/>
    </row>
    <row r="17" spans="1:8" ht="27" customHeight="1" x14ac:dyDescent="0.25">
      <c r="A17" s="2"/>
      <c r="B17" s="2"/>
      <c r="C17" s="2"/>
      <c r="D17" s="2"/>
      <c r="E17" s="2"/>
      <c r="F17" s="2"/>
      <c r="G17" s="2"/>
      <c r="H17" s="2"/>
    </row>
    <row r="18" spans="1:8" ht="27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ht="27" customHeight="1" x14ac:dyDescent="0.25">
      <c r="A19" s="2"/>
      <c r="B19" s="2"/>
      <c r="C19" s="2"/>
      <c r="D19" s="2"/>
      <c r="E19" s="2"/>
      <c r="F19" s="2"/>
      <c r="G19" s="2"/>
      <c r="H19" s="2"/>
    </row>
    <row r="20" spans="1:8" ht="27" customHeight="1" x14ac:dyDescent="0.25">
      <c r="A20" s="2"/>
      <c r="B20" s="2"/>
      <c r="C20" s="2"/>
      <c r="D20" s="2"/>
      <c r="E20" s="2"/>
      <c r="F20" s="2"/>
      <c r="G20" s="2"/>
      <c r="H20" s="2"/>
    </row>
    <row r="21" spans="1:8" ht="27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27" customHeight="1" x14ac:dyDescent="0.25">
      <c r="A22" s="2"/>
      <c r="B22" s="2"/>
      <c r="C22" s="2"/>
      <c r="D22" s="2"/>
      <c r="E22" s="2"/>
      <c r="F22" s="2"/>
      <c r="G22" s="2"/>
      <c r="H22" s="2"/>
    </row>
    <row r="23" spans="1:8" ht="27" customHeight="1" x14ac:dyDescent="0.25">
      <c r="A23" s="2"/>
      <c r="B23" s="2"/>
      <c r="C23" s="2"/>
      <c r="D23" s="2"/>
      <c r="E23" s="2"/>
      <c r="F23" s="2"/>
      <c r="G23" s="2"/>
      <c r="H23" s="2"/>
    </row>
    <row r="24" spans="1:8" ht="27" customHeight="1" x14ac:dyDescent="0.25">
      <c r="A24" s="2"/>
      <c r="B24" s="2"/>
      <c r="C24" s="2"/>
      <c r="D24" s="2"/>
      <c r="E24" s="2"/>
      <c r="F24" s="2"/>
      <c r="G24" s="2"/>
      <c r="H24" s="2"/>
    </row>
    <row r="25" spans="1:8" ht="27" customHeight="1" x14ac:dyDescent="0.25">
      <c r="A25" s="2"/>
      <c r="B25" s="2"/>
      <c r="C25" s="2"/>
      <c r="D25" s="2"/>
      <c r="E25" s="2"/>
      <c r="F25" s="2"/>
      <c r="G25" s="2"/>
      <c r="H25" s="2"/>
    </row>
  </sheetData>
  <sheetProtection algorithmName="SHA-512" hashValue="x1JHn2jRNt+lKndoJ/2Y6BhXEFXl1MqOCGF13HuFo3rneJKGGKcYKvufrjuHtbP4nrog0pnP82TYIyt3dza5kA==" saltValue="FZxRyhSq3xiRrency9V/mQ==" spinCount="100000" sheet="1" objects="1" scenarios="1" selectLockedCells="1"/>
  <pageMargins left="0.75" right="0.75" top="1" bottom="1" header="0.5" footer="0.5"/>
  <pageSetup paperSize="9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workbookViewId="0">
      <selection activeCell="F20" sqref="F20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5" t="s">
        <v>57</v>
      </c>
      <c r="C4" s="143"/>
      <c r="D4" s="143"/>
      <c r="E4" s="144"/>
      <c r="F4" s="17" t="s">
        <v>0</v>
      </c>
      <c r="G4" s="31" t="s">
        <v>56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9.5000000000000001E-2</v>
      </c>
      <c r="F5" s="13" t="str">
        <f t="shared" ref="F5:F11" si="0">IF(D$15&gt;=B5,IF(D$15&lt;=D5,((D$15-B5)*E5)+C5," ")," ")</f>
        <v xml:space="preserve"> </v>
      </c>
      <c r="G5" s="13">
        <f t="shared" ref="G5:G11" si="1">IF(D$16&gt;=B5,IF(D$16&lt;=D5,((D$16-B5)*E5)+C5," ")," ")</f>
        <v>527.25</v>
      </c>
    </row>
    <row r="6" spans="2:7" s="12" customFormat="1" x14ac:dyDescent="0.2">
      <c r="B6" s="4">
        <v>12450</v>
      </c>
      <c r="C6" s="8">
        <v>1182.75</v>
      </c>
      <c r="D6" s="3">
        <f t="shared" ref="D6:D10" si="2">B7</f>
        <v>20200</v>
      </c>
      <c r="E6" s="10">
        <v>0.12</v>
      </c>
      <c r="F6" s="13" t="str">
        <f t="shared" si="0"/>
        <v xml:space="preserve"> </v>
      </c>
      <c r="G6" s="13" t="str">
        <f t="shared" si="1"/>
        <v xml:space="preserve"> </v>
      </c>
    </row>
    <row r="7" spans="2:7" s="12" customFormat="1" x14ac:dyDescent="0.2">
      <c r="B7" s="4">
        <v>20200</v>
      </c>
      <c r="C7" s="8">
        <v>2112.75</v>
      </c>
      <c r="D7" s="3">
        <f t="shared" si="2"/>
        <v>34000</v>
      </c>
      <c r="E7" s="10">
        <v>0.15</v>
      </c>
      <c r="F7" s="13">
        <f t="shared" si="0"/>
        <v>2294.625</v>
      </c>
      <c r="G7" s="13" t="str">
        <f t="shared" si="1"/>
        <v xml:space="preserve"> </v>
      </c>
    </row>
    <row r="8" spans="2:7" s="12" customFormat="1" x14ac:dyDescent="0.2">
      <c r="B8" s="4">
        <v>34000</v>
      </c>
      <c r="C8" s="8">
        <v>4182.75</v>
      </c>
      <c r="D8" s="3">
        <f t="shared" si="2"/>
        <v>46000</v>
      </c>
      <c r="E8" s="10">
        <v>0.185</v>
      </c>
      <c r="F8" s="13" t="str">
        <f t="shared" si="0"/>
        <v xml:space="preserve"> </v>
      </c>
      <c r="G8" s="13" t="str">
        <f t="shared" si="1"/>
        <v xml:space="preserve"> </v>
      </c>
    </row>
    <row r="9" spans="2:7" s="12" customFormat="1" x14ac:dyDescent="0.2">
      <c r="B9" s="4">
        <v>46000</v>
      </c>
      <c r="C9" s="8">
        <v>6402.75</v>
      </c>
      <c r="D9" s="3">
        <f t="shared" si="2"/>
        <v>60000</v>
      </c>
      <c r="E9" s="10">
        <v>0.19500000000000001</v>
      </c>
      <c r="F9" s="13" t="str">
        <f t="shared" si="0"/>
        <v xml:space="preserve"> </v>
      </c>
      <c r="G9" s="13" t="str">
        <f t="shared" si="1"/>
        <v xml:space="preserve"> </v>
      </c>
    </row>
    <row r="10" spans="2:7" s="12" customFormat="1" x14ac:dyDescent="0.2">
      <c r="B10" s="4">
        <v>60000</v>
      </c>
      <c r="C10" s="8">
        <v>9132.75</v>
      </c>
      <c r="D10" s="3">
        <f t="shared" si="2"/>
        <v>90000</v>
      </c>
      <c r="E10" s="10">
        <v>0.245</v>
      </c>
      <c r="F10" s="13" t="str">
        <f t="shared" si="0"/>
        <v xml:space="preserve"> </v>
      </c>
      <c r="G10" s="13" t="str">
        <f t="shared" si="1"/>
        <v xml:space="preserve"> </v>
      </c>
    </row>
    <row r="11" spans="2:7" s="12" customFormat="1" ht="15.75" thickBot="1" x14ac:dyDescent="0.25">
      <c r="B11" s="5">
        <v>90000</v>
      </c>
      <c r="C11" s="9">
        <v>16482.75</v>
      </c>
      <c r="D11" s="21">
        <v>10000000000</v>
      </c>
      <c r="E11" s="11">
        <v>0.255</v>
      </c>
      <c r="F11" s="13" t="str">
        <f t="shared" si="0"/>
        <v xml:space="preserve"> </v>
      </c>
      <c r="G11" s="13" t="str">
        <f t="shared" si="1"/>
        <v xml:space="preserve"> </v>
      </c>
    </row>
    <row r="12" spans="2:7" s="12" customFormat="1" ht="16.5" thickTop="1" thickBot="1" x14ac:dyDescent="0.25"/>
    <row r="13" spans="2:7" s="12" customFormat="1" ht="20.25" thickBot="1" x14ac:dyDescent="0.25">
      <c r="F13" s="14">
        <f>SUM(F5:F11)</f>
        <v>2294.625</v>
      </c>
      <c r="G13" s="15">
        <f>SUM(G5:G11)</f>
        <v>527.25</v>
      </c>
    </row>
    <row r="14" spans="2:7" s="12" customFormat="1" ht="15.75" thickBot="1" x14ac:dyDescent="0.25"/>
    <row r="15" spans="2:7" s="12" customFormat="1" ht="25.5" thickBot="1" x14ac:dyDescent="0.25">
      <c r="B15" s="141" t="s">
        <v>45</v>
      </c>
      <c r="C15" s="141"/>
      <c r="D15" s="18">
        <f>'RN y MPF'!B10</f>
        <v>21412.5</v>
      </c>
      <c r="F15" s="20">
        <f>F13-G13</f>
        <v>1767.375</v>
      </c>
    </row>
    <row r="16" spans="2:7" s="12" customFormat="1" ht="18.95" customHeight="1" x14ac:dyDescent="0.2">
      <c r="B16" s="141" t="s">
        <v>46</v>
      </c>
      <c r="C16" s="141"/>
      <c r="D16" s="19">
        <f>'RN y MPF'!F29</f>
        <v>5550</v>
      </c>
    </row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  <row r="25" s="12" customFormat="1" x14ac:dyDescent="0.2"/>
    <row r="26" s="12" customFormat="1" x14ac:dyDescent="0.2"/>
    <row r="27" s="12" customFormat="1" x14ac:dyDescent="0.2"/>
    <row r="28" s="12" customFormat="1" x14ac:dyDescent="0.2"/>
    <row r="29" s="12" customFormat="1" x14ac:dyDescent="0.2"/>
    <row r="30" s="12" customFormat="1" x14ac:dyDescent="0.2"/>
  </sheetData>
  <sheetProtection algorithmName="SHA-512" hashValue="cAIQRbUC9oxWAb08If0kUKrkKW79xSVDQ7tBHmmMz2hMPrJRE2bmOt04Y+rm7LHWExti5b4nz/Cf/ms3UZaBRA==" saltValue="qXSNojWz1kp6iZ4frdyOPQ==" spinCount="100000" sheet="1" objects="1" scenarios="1" selectLockedCells="1" selectUnlockedCells="1"/>
  <mergeCells count="3">
    <mergeCell ref="B4:E4"/>
    <mergeCell ref="B15:C15"/>
    <mergeCell ref="B16:C16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F11" sqref="F11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30.75" thickBot="1" x14ac:dyDescent="0.25">
      <c r="B4" s="145" t="s">
        <v>69</v>
      </c>
      <c r="C4" s="143"/>
      <c r="D4" s="143"/>
      <c r="E4" s="144"/>
      <c r="F4" s="17" t="s">
        <v>0</v>
      </c>
      <c r="G4" s="31" t="s">
        <v>68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9.5000000000000001E-2</v>
      </c>
      <c r="F5" s="13" t="str">
        <f>IF(D$13&gt;=B5,IF(D$13&lt;=D5,((D$13-B5)*E5)+C5," ")," ")</f>
        <v xml:space="preserve"> </v>
      </c>
      <c r="G5" s="13">
        <f>IF(D$14&gt;=B5,IF(D$14&lt;=D5,((D$14-B5)*E5)+C5," ")," ")</f>
        <v>527.25</v>
      </c>
    </row>
    <row r="6" spans="2:7" s="12" customFormat="1" x14ac:dyDescent="0.2">
      <c r="B6" s="4">
        <v>12450</v>
      </c>
      <c r="C6" s="8">
        <v>1182.75</v>
      </c>
      <c r="D6" s="3">
        <f t="shared" ref="D6:D8" si="0">B7</f>
        <v>20200</v>
      </c>
      <c r="E6" s="10">
        <v>0.12</v>
      </c>
      <c r="F6" s="13" t="str">
        <f>IF(D$13&gt;=B6,IF(D$13&lt;=D6,((D$13-B6)*E6)+C6," ")," ")</f>
        <v xml:space="preserve"> </v>
      </c>
      <c r="G6" s="13" t="str">
        <f>IF(D$14&gt;=B6,IF(D$14&lt;=D6,((D$14-B6)*E6)+C6," ")," ")</f>
        <v xml:space="preserve"> </v>
      </c>
    </row>
    <row r="7" spans="2:7" s="12" customFormat="1" x14ac:dyDescent="0.2">
      <c r="B7" s="4">
        <v>20200</v>
      </c>
      <c r="C7" s="8">
        <v>2112.75</v>
      </c>
      <c r="D7" s="3">
        <f t="shared" si="0"/>
        <v>35200</v>
      </c>
      <c r="E7" s="10">
        <v>0.15</v>
      </c>
      <c r="F7" s="13">
        <f>IF(D$13&gt;=B7,IF(D$13&lt;=D7,((D$13-B7)*E7)+C7," ")," ")</f>
        <v>2294.625</v>
      </c>
      <c r="G7" s="13" t="str">
        <f>IF(D$14&gt;=B7,IF(D$14&lt;=D7,((D$14-B7)*E7)+C7," ")," ")</f>
        <v xml:space="preserve"> </v>
      </c>
    </row>
    <row r="8" spans="2:7" s="12" customFormat="1" x14ac:dyDescent="0.2">
      <c r="B8" s="4">
        <v>35200</v>
      </c>
      <c r="C8" s="8">
        <v>4362.75</v>
      </c>
      <c r="D8" s="3">
        <f t="shared" si="0"/>
        <v>60000</v>
      </c>
      <c r="E8" s="10">
        <v>0.185</v>
      </c>
      <c r="F8" s="13" t="str">
        <f>IF(D$13&gt;=B8,IF(D$13&lt;=D8,((D$13-B8)*E8)+C8," ")," ")</f>
        <v xml:space="preserve"> </v>
      </c>
      <c r="G8" s="13" t="str">
        <f>IF(D$14&gt;=B8,IF(D$14&lt;=D8,((D$14-B8)*E8)+C8," ")," ")</f>
        <v xml:space="preserve"> </v>
      </c>
    </row>
    <row r="9" spans="2:7" s="12" customFormat="1" ht="15.75" thickBot="1" x14ac:dyDescent="0.25">
      <c r="B9" s="5">
        <v>60000</v>
      </c>
      <c r="C9" s="9">
        <v>8950.75</v>
      </c>
      <c r="D9" s="21">
        <v>10000000000</v>
      </c>
      <c r="E9" s="11">
        <v>0.22500000000000001</v>
      </c>
      <c r="F9" s="13" t="str">
        <f>IF(D$13&gt;=B9,IF(D$13&lt;=D9,((D$13-B9)*E9)+C9," ")," ")</f>
        <v xml:space="preserve"> </v>
      </c>
      <c r="G9" s="13" t="str">
        <f>IF(D$14&gt;=B9,IF(D$14&lt;=D9,((D$14-B9)*E9)+C9," ")," ")</f>
        <v xml:space="preserve"> </v>
      </c>
    </row>
    <row r="10" spans="2:7" s="12" customFormat="1" ht="16.5" thickTop="1" thickBot="1" x14ac:dyDescent="0.25"/>
    <row r="11" spans="2:7" s="12" customFormat="1" ht="20.25" thickBot="1" x14ac:dyDescent="0.25">
      <c r="F11" s="14">
        <f>SUM(F5:F9)</f>
        <v>2294.625</v>
      </c>
      <c r="G11" s="15">
        <f>SUM(G5:G9)</f>
        <v>527.25</v>
      </c>
    </row>
    <row r="12" spans="2:7" s="12" customFormat="1" ht="15.75" thickBot="1" x14ac:dyDescent="0.25"/>
    <row r="13" spans="2:7" s="12" customFormat="1" ht="25.5" thickBot="1" x14ac:dyDescent="0.25">
      <c r="B13" s="141" t="s">
        <v>45</v>
      </c>
      <c r="C13" s="141"/>
      <c r="D13" s="18">
        <f>'RN y MPF'!B10</f>
        <v>21412.5</v>
      </c>
      <c r="F13" s="20">
        <f>F11-G11</f>
        <v>1767.375</v>
      </c>
    </row>
    <row r="14" spans="2:7" s="12" customFormat="1" ht="18.95" customHeight="1" x14ac:dyDescent="0.2">
      <c r="B14" s="141" t="s">
        <v>46</v>
      </c>
      <c r="C14" s="141"/>
      <c r="D14" s="19">
        <f>'RN y MPF'!F29</f>
        <v>5550</v>
      </c>
    </row>
    <row r="15" spans="2:7" s="12" customFormat="1" x14ac:dyDescent="0.2"/>
    <row r="16" spans="2:7" s="12" customFormat="1" x14ac:dyDescent="0.2"/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  <row r="25" s="12" customFormat="1" x14ac:dyDescent="0.2"/>
    <row r="26" s="12" customFormat="1" x14ac:dyDescent="0.2"/>
    <row r="27" s="12" customFormat="1" x14ac:dyDescent="0.2"/>
    <row r="28" s="12" customFormat="1" x14ac:dyDescent="0.2"/>
  </sheetData>
  <sheetProtection algorithmName="SHA-512" hashValue="keqT3wsfCPw4WjU56ClafevYHPDLLCVlUFh4dlwHK0LR0OHRusRCqKHpSR7713QHTpZb4KaheOhde+8O7gfbfA==" saltValue="LVxB20B9dpx71A0qXgyjlw==" spinCount="100000" sheet="1" objects="1" scenarios="1" selectLockedCells="1" selectUnlockedCells="1"/>
  <mergeCells count="3">
    <mergeCell ref="B4:E4"/>
    <mergeCell ref="B13:C13"/>
    <mergeCell ref="B14:C14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E10" sqref="E10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5" t="s">
        <v>59</v>
      </c>
      <c r="C4" s="143"/>
      <c r="D4" s="143"/>
      <c r="E4" s="144"/>
      <c r="F4" s="17" t="s">
        <v>0</v>
      </c>
      <c r="G4" s="31" t="s">
        <v>58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9.5000000000000001E-2</v>
      </c>
      <c r="F5" s="13" t="str">
        <f>IF(D$13&gt;=B5,IF(D$13&lt;=D5,((D$13-B5)*E5)+C5," ")," ")</f>
        <v xml:space="preserve"> </v>
      </c>
      <c r="G5" s="13">
        <f>IF(D$14&gt;=B5,IF(D$14&lt;=D5,((D$14-B5)*E5)+C5," ")," ")</f>
        <v>527.25</v>
      </c>
    </row>
    <row r="6" spans="2:7" s="12" customFormat="1" x14ac:dyDescent="0.2">
      <c r="B6" s="4">
        <v>12450</v>
      </c>
      <c r="C6" s="8">
        <v>1182.75</v>
      </c>
      <c r="D6" s="3">
        <f t="shared" ref="D6:D8" si="0">B7</f>
        <v>20200</v>
      </c>
      <c r="E6" s="10">
        <v>0.12</v>
      </c>
      <c r="F6" s="13" t="str">
        <f>IF(D$13&gt;=B6,IF(D$13&lt;=D6,((D$13-B6)*E6)+C6," ")," ")</f>
        <v xml:space="preserve"> </v>
      </c>
      <c r="G6" s="13" t="str">
        <f>IF(D$14&gt;=B6,IF(D$14&lt;=D6,((D$14-B6)*E6)+C6," ")," ")</f>
        <v xml:space="preserve"> </v>
      </c>
    </row>
    <row r="7" spans="2:7" s="12" customFormat="1" x14ac:dyDescent="0.2">
      <c r="B7" s="4">
        <v>20200</v>
      </c>
      <c r="C7" s="8">
        <v>2112.75</v>
      </c>
      <c r="D7" s="3">
        <f t="shared" si="0"/>
        <v>35200</v>
      </c>
      <c r="E7" s="10">
        <v>0.14000000000000001</v>
      </c>
      <c r="F7" s="13">
        <f>IF(D$13&gt;=B7,IF(D$13&lt;=D7,((D$13-B7)*E7)+C7," ")," ")</f>
        <v>2282.5</v>
      </c>
      <c r="G7" s="13" t="str">
        <f>IF(D$14&gt;=B7,IF(D$14&lt;=D7,((D$14-B7)*E7)+C7," ")," ")</f>
        <v xml:space="preserve"> </v>
      </c>
    </row>
    <row r="8" spans="2:7" s="12" customFormat="1" x14ac:dyDescent="0.2">
      <c r="B8" s="4">
        <v>35200</v>
      </c>
      <c r="C8" s="8">
        <v>4212.75</v>
      </c>
      <c r="D8" s="3">
        <f t="shared" si="0"/>
        <v>53407.199999999997</v>
      </c>
      <c r="E8" s="10">
        <v>0.185</v>
      </c>
      <c r="F8" s="13" t="str">
        <f>IF(D$13&gt;=B8,IF(D$13&lt;=D8,((D$13-B8)*E8)+C8," ")," ")</f>
        <v xml:space="preserve"> </v>
      </c>
      <c r="G8" s="13" t="str">
        <f>IF(D$14&gt;=B8,IF(D$14&lt;=D8,((D$14-B8)*E8)+C8," ")," ")</f>
        <v xml:space="preserve"> </v>
      </c>
    </row>
    <row r="9" spans="2:7" s="12" customFormat="1" ht="15.75" thickBot="1" x14ac:dyDescent="0.25">
      <c r="B9" s="5">
        <v>53407.199999999997</v>
      </c>
      <c r="C9" s="9">
        <v>7581.08</v>
      </c>
      <c r="D9" s="21">
        <v>10000000000</v>
      </c>
      <c r="E9" s="11">
        <v>0.215</v>
      </c>
      <c r="F9" s="13" t="str">
        <f>IF(D$13&gt;=B9,IF(D$13&lt;=D9,((D$13-B9)*E9)+C9," ")," ")</f>
        <v xml:space="preserve"> </v>
      </c>
      <c r="G9" s="13" t="str">
        <f>IF(D$14&gt;=B9,IF(D$14&lt;=D9,((D$14-B9)*E9)+C9," ")," ")</f>
        <v xml:space="preserve"> </v>
      </c>
    </row>
    <row r="10" spans="2:7" s="12" customFormat="1" ht="16.5" thickTop="1" thickBot="1" x14ac:dyDescent="0.25"/>
    <row r="11" spans="2:7" s="12" customFormat="1" ht="20.25" thickBot="1" x14ac:dyDescent="0.25">
      <c r="F11" s="14">
        <f>SUM(F5:F9)</f>
        <v>2282.5</v>
      </c>
      <c r="G11" s="15">
        <f>SUM(G5:G9)</f>
        <v>527.25</v>
      </c>
    </row>
    <row r="12" spans="2:7" s="12" customFormat="1" ht="15.75" thickBot="1" x14ac:dyDescent="0.25"/>
    <row r="13" spans="2:7" s="12" customFormat="1" ht="25.5" thickBot="1" x14ac:dyDescent="0.25">
      <c r="B13" s="141" t="s">
        <v>45</v>
      </c>
      <c r="C13" s="141"/>
      <c r="D13" s="18">
        <f>'RN y MPF'!B10</f>
        <v>21412.5</v>
      </c>
      <c r="F13" s="20">
        <f>F11-G11</f>
        <v>1755.25</v>
      </c>
    </row>
    <row r="14" spans="2:7" s="12" customFormat="1" ht="18.95" customHeight="1" x14ac:dyDescent="0.2">
      <c r="B14" s="141" t="s">
        <v>46</v>
      </c>
      <c r="C14" s="141"/>
      <c r="D14" s="19">
        <f>'RN y MPF'!F29</f>
        <v>5550</v>
      </c>
    </row>
    <row r="15" spans="2:7" s="12" customFormat="1" x14ac:dyDescent="0.2"/>
    <row r="16" spans="2:7" s="12" customFormat="1" x14ac:dyDescent="0.2"/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  <row r="25" s="12" customFormat="1" x14ac:dyDescent="0.2"/>
    <row r="26" s="12" customFormat="1" x14ac:dyDescent="0.2"/>
    <row r="27" s="12" customFormat="1" x14ac:dyDescent="0.2"/>
    <row r="28" s="12" customFormat="1" x14ac:dyDescent="0.2"/>
  </sheetData>
  <sheetProtection algorithmName="SHA-512" hashValue="yg7MxuE/YzmcVpSvIZLzksG0Eg4k/2cFpvmFd8ZVsje+8i1L9YKugMgZ1VFFTFp7gSLRzfmLZsrDaP21DEi0IQ==" saltValue="8eplDliCOqE33FXvhhbERA==" spinCount="100000" sheet="1" objects="1" scenarios="1" selectLockedCells="1" selectUnlockedCells="1"/>
  <mergeCells count="3">
    <mergeCell ref="B4:E4"/>
    <mergeCell ref="B13:C13"/>
    <mergeCell ref="B14:C14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G14" sqref="G14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5" t="s">
        <v>71</v>
      </c>
      <c r="C4" s="143"/>
      <c r="D4" s="143"/>
      <c r="E4" s="144"/>
      <c r="F4" s="17" t="s">
        <v>0</v>
      </c>
      <c r="G4" s="31" t="s">
        <v>70</v>
      </c>
    </row>
    <row r="5" spans="2:7" s="12" customFormat="1" x14ac:dyDescent="0.2">
      <c r="B5" s="4">
        <v>0</v>
      </c>
      <c r="C5" s="8">
        <v>0</v>
      </c>
      <c r="D5" s="3">
        <f>B6</f>
        <v>17707.2</v>
      </c>
      <c r="E5" s="10">
        <v>0.12</v>
      </c>
      <c r="F5" s="13" t="str">
        <f t="shared" ref="F5:F10" si="0">IF(D$14&gt;=B5,IF(D$14&lt;=D5,((D$14-B5)*E5)+C5," ")," ")</f>
        <v xml:space="preserve"> </v>
      </c>
      <c r="G5" s="13">
        <f t="shared" ref="G5:G10" si="1">IF(D$15&gt;=B5,IF(D$15&lt;=D5,((D$15-B5)*E5)+C5," ")," ")</f>
        <v>666</v>
      </c>
    </row>
    <row r="6" spans="2:7" s="12" customFormat="1" x14ac:dyDescent="0.2">
      <c r="B6" s="4">
        <v>17707.2</v>
      </c>
      <c r="C6" s="8">
        <v>2124.86</v>
      </c>
      <c r="D6" s="3">
        <f t="shared" ref="D6:D9" si="2">B7</f>
        <v>33007.199999999997</v>
      </c>
      <c r="E6" s="10">
        <v>0.14000000000000001</v>
      </c>
      <c r="F6" s="13">
        <f t="shared" si="0"/>
        <v>2643.6019999999999</v>
      </c>
      <c r="G6" s="13" t="str">
        <f t="shared" si="1"/>
        <v xml:space="preserve"> </v>
      </c>
    </row>
    <row r="7" spans="2:7" s="12" customFormat="1" x14ac:dyDescent="0.2">
      <c r="B7" s="4">
        <v>33007.199999999997</v>
      </c>
      <c r="C7" s="8">
        <v>4266.8599999999997</v>
      </c>
      <c r="D7" s="3">
        <f t="shared" si="2"/>
        <v>53407.199999999997</v>
      </c>
      <c r="E7" s="10">
        <v>0.185</v>
      </c>
      <c r="F7" s="13" t="str">
        <f t="shared" si="0"/>
        <v xml:space="preserve"> </v>
      </c>
      <c r="G7" s="13" t="str">
        <f t="shared" si="1"/>
        <v xml:space="preserve"> </v>
      </c>
    </row>
    <row r="8" spans="2:7" s="12" customFormat="1" x14ac:dyDescent="0.2">
      <c r="B8" s="4">
        <v>53407.199999999997</v>
      </c>
      <c r="C8" s="8">
        <v>8040.86</v>
      </c>
      <c r="D8" s="3">
        <f t="shared" si="2"/>
        <v>120000.2</v>
      </c>
      <c r="E8" s="10">
        <v>0.215</v>
      </c>
      <c r="F8" s="13" t="str">
        <f t="shared" si="0"/>
        <v xml:space="preserve"> </v>
      </c>
      <c r="G8" s="13" t="str">
        <f t="shared" si="1"/>
        <v xml:space="preserve"> </v>
      </c>
    </row>
    <row r="9" spans="2:7" s="12" customFormat="1" x14ac:dyDescent="0.2">
      <c r="B9" s="4">
        <v>120000.2</v>
      </c>
      <c r="C9" s="8">
        <v>22358.35</v>
      </c>
      <c r="D9" s="3">
        <f t="shared" si="2"/>
        <v>175000.2</v>
      </c>
      <c r="E9" s="10">
        <v>0.23499999999999999</v>
      </c>
      <c r="F9" s="13" t="str">
        <f t="shared" si="0"/>
        <v xml:space="preserve"> </v>
      </c>
      <c r="G9" s="13" t="str">
        <f t="shared" si="1"/>
        <v xml:space="preserve"> </v>
      </c>
    </row>
    <row r="10" spans="2:7" s="12" customFormat="1" ht="15.75" thickBot="1" x14ac:dyDescent="0.25">
      <c r="B10" s="5">
        <v>175000.2</v>
      </c>
      <c r="C10" s="9">
        <v>35283.35</v>
      </c>
      <c r="D10" s="21">
        <v>10000000000</v>
      </c>
      <c r="E10" s="11">
        <v>0.255</v>
      </c>
      <c r="F10" s="13" t="str">
        <f t="shared" si="0"/>
        <v xml:space="preserve"> </v>
      </c>
      <c r="G10" s="13" t="str">
        <f t="shared" si="1"/>
        <v xml:space="preserve"> </v>
      </c>
    </row>
    <row r="11" spans="2:7" s="12" customFormat="1" ht="16.5" thickTop="1" thickBot="1" x14ac:dyDescent="0.25"/>
    <row r="12" spans="2:7" s="12" customFormat="1" ht="20.25" thickBot="1" x14ac:dyDescent="0.25">
      <c r="F12" s="14">
        <f>SUM(F5:F10)</f>
        <v>2643.6019999999999</v>
      </c>
      <c r="G12" s="15">
        <f>SUM(G5:G10)</f>
        <v>666</v>
      </c>
    </row>
    <row r="13" spans="2:7" s="12" customFormat="1" ht="15.75" thickBot="1" x14ac:dyDescent="0.25"/>
    <row r="14" spans="2:7" s="12" customFormat="1" ht="25.5" thickBot="1" x14ac:dyDescent="0.25">
      <c r="B14" s="141" t="s">
        <v>45</v>
      </c>
      <c r="C14" s="141"/>
      <c r="D14" s="18">
        <f>'RN y MPF'!B10</f>
        <v>21412.5</v>
      </c>
      <c r="F14" s="20">
        <f>F12-G12</f>
        <v>1977.6019999999999</v>
      </c>
    </row>
    <row r="15" spans="2:7" s="12" customFormat="1" ht="18.95" customHeight="1" x14ac:dyDescent="0.2">
      <c r="B15" s="141" t="s">
        <v>46</v>
      </c>
      <c r="C15" s="141"/>
      <c r="D15" s="19">
        <f>'RN y MPF'!F29</f>
        <v>5550</v>
      </c>
    </row>
    <row r="16" spans="2:7" s="12" customFormat="1" x14ac:dyDescent="0.2"/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  <row r="25" s="12" customFormat="1" x14ac:dyDescent="0.2"/>
    <row r="26" s="12" customFormat="1" x14ac:dyDescent="0.2"/>
    <row r="27" s="12" customFormat="1" x14ac:dyDescent="0.2"/>
    <row r="28" s="12" customFormat="1" x14ac:dyDescent="0.2"/>
    <row r="29" s="12" customFormat="1" x14ac:dyDescent="0.2"/>
  </sheetData>
  <sheetProtection algorithmName="SHA-512" hashValue="yfGFiUNzEgNGcmcq2pUIR9MeMFUY0ZEjNOSLbyJ8LIpBK8Jv48+JG3vnCxfqsNpLRFiNoQJ1VaPMbfXrk3bYOA==" saltValue="YyyQyVjDmyM0ZUs11mT0ig==" spinCount="100000" sheet="1" objects="1" scenarios="1" selectLockedCells="1" selectUnlockedCells="1"/>
  <mergeCells count="3">
    <mergeCell ref="B4:E4"/>
    <mergeCell ref="B14:C14"/>
    <mergeCell ref="B15:C15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>
      <selection activeCell="F24" sqref="F24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5.125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30.75" thickBot="1" x14ac:dyDescent="0.25">
      <c r="B4" s="146" t="s">
        <v>105</v>
      </c>
      <c r="C4" s="147"/>
      <c r="D4" s="147"/>
      <c r="E4" s="148"/>
      <c r="F4" s="17" t="s">
        <v>0</v>
      </c>
      <c r="G4" s="31" t="s">
        <v>106</v>
      </c>
    </row>
    <row r="5" spans="2:7" s="12" customFormat="1" ht="15.75" thickTop="1" x14ac:dyDescent="0.2">
      <c r="B5" s="91">
        <v>0</v>
      </c>
      <c r="C5" s="92">
        <v>0</v>
      </c>
      <c r="D5" s="93">
        <f>B6</f>
        <v>12450</v>
      </c>
      <c r="E5" s="94">
        <v>0.105</v>
      </c>
      <c r="F5" s="13" t="str">
        <f>IF(D$17&gt;=B5,IF(D$17&lt;=D5,((D$17-B5)*E5)+C5," ")," ")</f>
        <v xml:space="preserve"> </v>
      </c>
      <c r="G5" s="13">
        <f>IF(D$18&gt;=B5,IF(D$18&lt;=D5,((D$18-B5)*E5)+C5," ")," ")</f>
        <v>582.75</v>
      </c>
    </row>
    <row r="6" spans="2:7" s="12" customFormat="1" x14ac:dyDescent="0.2">
      <c r="B6" s="4">
        <v>12450</v>
      </c>
      <c r="C6" s="8">
        <v>1307.25</v>
      </c>
      <c r="D6" s="3">
        <f t="shared" ref="D6:D12" si="0">B7</f>
        <v>20200</v>
      </c>
      <c r="E6" s="10">
        <v>0.125</v>
      </c>
      <c r="F6" s="13" t="str">
        <f t="shared" ref="F6:F13" si="1">IF(D$17&gt;=B6,IF(D$17&lt;=D6,((D$17-B6)*E6)+C6," ")," ")</f>
        <v xml:space="preserve"> </v>
      </c>
      <c r="G6" s="13" t="str">
        <f t="shared" ref="G6:G13" si="2">IF(D$18&gt;=B6,IF(D$18&lt;=D6,((D$18-B6)*E6)+C6," ")," ")</f>
        <v xml:space="preserve"> </v>
      </c>
    </row>
    <row r="7" spans="2:7" s="12" customFormat="1" x14ac:dyDescent="0.2">
      <c r="B7" s="4">
        <v>20200</v>
      </c>
      <c r="C7" s="8">
        <v>2276</v>
      </c>
      <c r="D7" s="3">
        <f t="shared" si="0"/>
        <v>24200</v>
      </c>
      <c r="E7" s="10">
        <v>0.155</v>
      </c>
      <c r="F7" s="13">
        <f t="shared" si="1"/>
        <v>2463.9375</v>
      </c>
      <c r="G7" s="13" t="str">
        <f t="shared" si="2"/>
        <v xml:space="preserve"> </v>
      </c>
    </row>
    <row r="8" spans="2:7" s="12" customFormat="1" x14ac:dyDescent="0.2">
      <c r="B8" s="4">
        <v>24200</v>
      </c>
      <c r="C8" s="8">
        <v>2896</v>
      </c>
      <c r="D8" s="3">
        <f t="shared" si="0"/>
        <v>35200</v>
      </c>
      <c r="E8" s="10">
        <v>0.16500000000000001</v>
      </c>
      <c r="F8" s="13" t="str">
        <f t="shared" si="1"/>
        <v xml:space="preserve"> </v>
      </c>
      <c r="G8" s="13" t="str">
        <f t="shared" si="2"/>
        <v xml:space="preserve"> </v>
      </c>
    </row>
    <row r="9" spans="2:7" s="12" customFormat="1" x14ac:dyDescent="0.2">
      <c r="B9" s="4">
        <v>35200</v>
      </c>
      <c r="C9" s="8">
        <v>4711</v>
      </c>
      <c r="D9" s="3">
        <f t="shared" si="0"/>
        <v>60000</v>
      </c>
      <c r="E9" s="10">
        <v>0.20499999999999999</v>
      </c>
      <c r="F9" s="13" t="str">
        <f t="shared" si="1"/>
        <v xml:space="preserve"> </v>
      </c>
      <c r="G9" s="13" t="str">
        <f t="shared" si="2"/>
        <v xml:space="preserve"> </v>
      </c>
    </row>
    <row r="10" spans="2:7" s="12" customFormat="1" x14ac:dyDescent="0.2">
      <c r="B10" s="4">
        <v>60000</v>
      </c>
      <c r="C10" s="8">
        <v>9795</v>
      </c>
      <c r="D10" s="3">
        <f t="shared" si="0"/>
        <v>80200</v>
      </c>
      <c r="E10" s="10">
        <v>0.23499999999999999</v>
      </c>
      <c r="F10" s="13" t="str">
        <f t="shared" si="1"/>
        <v xml:space="preserve"> </v>
      </c>
      <c r="G10" s="13" t="str">
        <f t="shared" si="2"/>
        <v xml:space="preserve"> </v>
      </c>
    </row>
    <row r="11" spans="2:7" s="12" customFormat="1" x14ac:dyDescent="0.2">
      <c r="B11" s="4">
        <v>80200</v>
      </c>
      <c r="C11" s="8">
        <v>14542</v>
      </c>
      <c r="D11" s="3">
        <f t="shared" si="0"/>
        <v>99200</v>
      </c>
      <c r="E11" s="10">
        <v>0.24</v>
      </c>
      <c r="F11" s="13" t="str">
        <f t="shared" si="1"/>
        <v xml:space="preserve"> </v>
      </c>
      <c r="G11" s="13" t="str">
        <f t="shared" si="2"/>
        <v xml:space="preserve"> </v>
      </c>
    </row>
    <row r="12" spans="2:7" s="12" customFormat="1" x14ac:dyDescent="0.2">
      <c r="B12" s="4">
        <v>99200</v>
      </c>
      <c r="C12" s="8">
        <v>19102</v>
      </c>
      <c r="D12" s="3">
        <f t="shared" si="0"/>
        <v>120200</v>
      </c>
      <c r="E12" s="10">
        <v>0.245</v>
      </c>
      <c r="F12" s="13" t="str">
        <f t="shared" si="1"/>
        <v xml:space="preserve"> </v>
      </c>
      <c r="G12" s="13" t="str">
        <f t="shared" si="2"/>
        <v xml:space="preserve"> </v>
      </c>
    </row>
    <row r="13" spans="2:7" s="12" customFormat="1" ht="15.75" thickBot="1" x14ac:dyDescent="0.25">
      <c r="B13" s="5">
        <v>120200</v>
      </c>
      <c r="C13" s="9">
        <v>24247</v>
      </c>
      <c r="D13" s="21">
        <v>10000000000</v>
      </c>
      <c r="E13" s="11">
        <v>0.25</v>
      </c>
      <c r="F13" s="13" t="str">
        <f t="shared" si="1"/>
        <v xml:space="preserve"> </v>
      </c>
      <c r="G13" s="13" t="str">
        <f t="shared" si="2"/>
        <v xml:space="preserve"> </v>
      </c>
    </row>
    <row r="14" spans="2:7" s="12" customFormat="1" ht="16.5" thickTop="1" thickBot="1" x14ac:dyDescent="0.25"/>
    <row r="15" spans="2:7" s="12" customFormat="1" ht="20.25" thickBot="1" x14ac:dyDescent="0.25">
      <c r="F15" s="14">
        <f>SUM(F5:F13)</f>
        <v>2463.9375</v>
      </c>
      <c r="G15" s="15">
        <f>SUM(G5:G13)</f>
        <v>582.75</v>
      </c>
    </row>
    <row r="16" spans="2:7" s="12" customFormat="1" ht="15.75" thickBot="1" x14ac:dyDescent="0.25"/>
    <row r="17" spans="2:6" s="12" customFormat="1" ht="25.5" thickBot="1" x14ac:dyDescent="0.25">
      <c r="B17" s="141" t="s">
        <v>45</v>
      </c>
      <c r="C17" s="141"/>
      <c r="D17" s="18">
        <f>'RN y MPF'!B10</f>
        <v>21412.5</v>
      </c>
      <c r="F17" s="20">
        <f>F15-G15</f>
        <v>1881.1875</v>
      </c>
    </row>
    <row r="18" spans="2:6" s="12" customFormat="1" ht="18.95" customHeight="1" x14ac:dyDescent="0.2">
      <c r="B18" s="141" t="s">
        <v>46</v>
      </c>
      <c r="C18" s="141"/>
      <c r="D18" s="19">
        <f>'RN y MPF'!F29</f>
        <v>5550</v>
      </c>
    </row>
    <row r="19" spans="2:6" s="12" customFormat="1" x14ac:dyDescent="0.2"/>
    <row r="20" spans="2:6" s="12" customFormat="1" x14ac:dyDescent="0.2"/>
    <row r="21" spans="2:6" s="12" customFormat="1" x14ac:dyDescent="0.2"/>
    <row r="22" spans="2:6" s="12" customFormat="1" x14ac:dyDescent="0.2"/>
    <row r="23" spans="2:6" s="12" customFormat="1" x14ac:dyDescent="0.2"/>
    <row r="24" spans="2:6" s="12" customFormat="1" x14ac:dyDescent="0.2"/>
    <row r="25" spans="2:6" s="12" customFormat="1" x14ac:dyDescent="0.2"/>
    <row r="26" spans="2:6" s="12" customFormat="1" x14ac:dyDescent="0.2"/>
    <row r="27" spans="2:6" s="12" customFormat="1" x14ac:dyDescent="0.2"/>
    <row r="28" spans="2:6" s="12" customFormat="1" x14ac:dyDescent="0.2"/>
    <row r="29" spans="2:6" s="12" customFormat="1" x14ac:dyDescent="0.2"/>
    <row r="30" spans="2:6" s="12" customFormat="1" x14ac:dyDescent="0.2"/>
    <row r="31" spans="2:6" s="12" customFormat="1" x14ac:dyDescent="0.2"/>
    <row r="32" spans="2:6" s="12" customFormat="1" x14ac:dyDescent="0.2"/>
  </sheetData>
  <sheetProtection algorithmName="SHA-512" hashValue="2rXGlJnZLBsl2IDp0UoBGakO8/+SZr5ngMtrQSYbnxAVEWQqoyaqU5WEgShPbVsK4bobRphuls1JftTfyNcEEQ==" saltValue="Z7n2NRaYDdddT58I62UlqA==" spinCount="100000" sheet="1" objects="1" scenarios="1" selectLockedCells="1" selectUnlockedCells="1"/>
  <mergeCells count="3">
    <mergeCell ref="B4:E4"/>
    <mergeCell ref="B17:C17"/>
    <mergeCell ref="B18:C18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workbookViewId="0">
      <selection activeCell="F7" sqref="F7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5" t="s">
        <v>61</v>
      </c>
      <c r="C4" s="143"/>
      <c r="D4" s="143"/>
      <c r="E4" s="144"/>
      <c r="F4" s="17" t="s">
        <v>0</v>
      </c>
      <c r="G4" s="31" t="s">
        <v>60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9.5000000000000001E-2</v>
      </c>
      <c r="F5" s="13" t="str">
        <f>IF(D$15&gt;=B5,IF(D$15&lt;=D5,((D$15-B5)*E5)+C5," ")," ")</f>
        <v xml:space="preserve"> </v>
      </c>
      <c r="G5" s="13">
        <f>IF(D$16&gt;=B5,IF(D$16&lt;=D5,((D$16-B5)*E5)+C5," ")," ")</f>
        <v>527.25</v>
      </c>
    </row>
    <row r="6" spans="2:7" s="12" customFormat="1" x14ac:dyDescent="0.2">
      <c r="B6" s="4">
        <v>12450</v>
      </c>
      <c r="C6" s="8">
        <v>1182.75</v>
      </c>
      <c r="D6" s="3">
        <f t="shared" ref="D6:D10" si="0">B7</f>
        <v>20200</v>
      </c>
      <c r="E6" s="10">
        <v>0.11749999999999999</v>
      </c>
      <c r="F6" s="13" t="str">
        <f t="shared" ref="F6:F11" si="1">IF(D$15&gt;=B6,IF(D$15&lt;=D6,((D$15-B6)*E6)+C6," ")," ")</f>
        <v xml:space="preserve"> </v>
      </c>
      <c r="G6" s="13" t="str">
        <f t="shared" ref="G6:G11" si="2">IF(D$16&gt;=B6,IF(D$16&lt;=D6,((D$16-B6)*E6)+C6," ")," ")</f>
        <v xml:space="preserve"> </v>
      </c>
    </row>
    <row r="7" spans="2:7" s="12" customFormat="1" x14ac:dyDescent="0.2">
      <c r="B7" s="4">
        <v>20200</v>
      </c>
      <c r="C7" s="8">
        <v>2093.38</v>
      </c>
      <c r="D7" s="3">
        <f t="shared" si="0"/>
        <v>27700</v>
      </c>
      <c r="E7" s="10">
        <v>0.155</v>
      </c>
      <c r="F7" s="13">
        <f t="shared" si="1"/>
        <v>2281.3175000000001</v>
      </c>
      <c r="G7" s="13" t="str">
        <f t="shared" si="2"/>
        <v xml:space="preserve"> </v>
      </c>
    </row>
    <row r="8" spans="2:7" s="12" customFormat="1" x14ac:dyDescent="0.2">
      <c r="B8" s="4">
        <v>27700</v>
      </c>
      <c r="C8" s="8">
        <v>3255.88</v>
      </c>
      <c r="D8" s="3">
        <f t="shared" si="0"/>
        <v>35200</v>
      </c>
      <c r="E8" s="10">
        <v>0.17</v>
      </c>
      <c r="F8" s="13" t="str">
        <f t="shared" si="1"/>
        <v xml:space="preserve"> </v>
      </c>
      <c r="G8" s="13" t="str">
        <f t="shared" si="2"/>
        <v xml:space="preserve"> </v>
      </c>
    </row>
    <row r="9" spans="2:7" s="12" customFormat="1" x14ac:dyDescent="0.2">
      <c r="B9" s="4">
        <v>35200</v>
      </c>
      <c r="C9" s="8">
        <v>4530.88</v>
      </c>
      <c r="D9" s="3">
        <f t="shared" si="0"/>
        <v>47600</v>
      </c>
      <c r="E9" s="10">
        <v>0.185</v>
      </c>
      <c r="F9" s="13" t="str">
        <f t="shared" si="1"/>
        <v xml:space="preserve"> </v>
      </c>
      <c r="G9" s="13" t="str">
        <f t="shared" si="2"/>
        <v xml:space="preserve"> </v>
      </c>
    </row>
    <row r="10" spans="2:7" s="12" customFormat="1" x14ac:dyDescent="0.2">
      <c r="B10" s="4">
        <v>47600</v>
      </c>
      <c r="C10" s="8">
        <v>6824.88</v>
      </c>
      <c r="D10" s="3">
        <f t="shared" si="0"/>
        <v>60000</v>
      </c>
      <c r="E10" s="10">
        <v>0.20499999999999999</v>
      </c>
      <c r="F10" s="13" t="str">
        <f t="shared" si="1"/>
        <v xml:space="preserve"> </v>
      </c>
      <c r="G10" s="13" t="str">
        <f t="shared" si="2"/>
        <v xml:space="preserve"> </v>
      </c>
    </row>
    <row r="11" spans="2:7" s="12" customFormat="1" ht="15.75" thickBot="1" x14ac:dyDescent="0.25">
      <c r="B11" s="5">
        <v>60000</v>
      </c>
      <c r="C11" s="9">
        <v>9366.8799999999992</v>
      </c>
      <c r="D11" s="21">
        <v>10000000000</v>
      </c>
      <c r="E11" s="11">
        <v>0.22500000000000001</v>
      </c>
      <c r="F11" s="13" t="str">
        <f t="shared" si="1"/>
        <v xml:space="preserve"> </v>
      </c>
      <c r="G11" s="13" t="str">
        <f t="shared" si="2"/>
        <v xml:space="preserve"> </v>
      </c>
    </row>
    <row r="12" spans="2:7" s="12" customFormat="1" ht="16.5" thickTop="1" thickBot="1" x14ac:dyDescent="0.25"/>
    <row r="13" spans="2:7" s="12" customFormat="1" ht="20.25" thickBot="1" x14ac:dyDescent="0.25">
      <c r="F13" s="14">
        <f>SUM(F5:F11)</f>
        <v>2281.3175000000001</v>
      </c>
      <c r="G13" s="15">
        <f>SUM(G5:G11)</f>
        <v>527.25</v>
      </c>
    </row>
    <row r="14" spans="2:7" s="12" customFormat="1" ht="15.75" thickBot="1" x14ac:dyDescent="0.25"/>
    <row r="15" spans="2:7" s="12" customFormat="1" ht="25.5" thickBot="1" x14ac:dyDescent="0.25">
      <c r="B15" s="141" t="s">
        <v>45</v>
      </c>
      <c r="C15" s="141"/>
      <c r="D15" s="18">
        <f>'RN y MPF'!B10</f>
        <v>21412.5</v>
      </c>
      <c r="F15" s="20">
        <f>F13-G13</f>
        <v>1754.0675000000001</v>
      </c>
    </row>
    <row r="16" spans="2:7" s="12" customFormat="1" ht="18.95" customHeight="1" x14ac:dyDescent="0.2">
      <c r="B16" s="141" t="s">
        <v>46</v>
      </c>
      <c r="C16" s="141"/>
      <c r="D16" s="19">
        <f>'RN y MPF'!F29</f>
        <v>5550</v>
      </c>
    </row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  <row r="25" s="12" customFormat="1" x14ac:dyDescent="0.2"/>
    <row r="26" s="12" customFormat="1" x14ac:dyDescent="0.2"/>
    <row r="27" s="12" customFormat="1" x14ac:dyDescent="0.2"/>
    <row r="28" s="12" customFormat="1" x14ac:dyDescent="0.2"/>
    <row r="29" s="12" customFormat="1" x14ac:dyDescent="0.2"/>
    <row r="30" s="12" customFormat="1" x14ac:dyDescent="0.2"/>
  </sheetData>
  <sheetProtection algorithmName="SHA-512" hashValue="yWrTrg20AXXpKwUdPUZDmSNifr9eFONB5tiJeRXEsP9WZmTso+N/3CnzKDjSCrFrHqhvuukMXfFyZ8PGTNHn5w==" saltValue="GVgzSw3GvvhAGD2dwMvIww==" spinCount="100000" sheet="1" objects="1" scenarios="1" selectLockedCells="1" selectUnlockedCells="1"/>
  <mergeCells count="3">
    <mergeCell ref="B4:E4"/>
    <mergeCell ref="B15:C15"/>
    <mergeCell ref="B16:C16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D19" sqref="D19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5" t="s">
        <v>73</v>
      </c>
      <c r="C4" s="143"/>
      <c r="D4" s="143"/>
      <c r="E4" s="144"/>
      <c r="F4" s="17" t="s">
        <v>0</v>
      </c>
      <c r="G4" s="31" t="s">
        <v>72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9.5000000000000001E-2</v>
      </c>
      <c r="F5" s="13" t="str">
        <f>IF(D$13&gt;=B5,IF(D$13&lt;=D5,((D$13-B5)*E5)+C5," ")," ")</f>
        <v xml:space="preserve"> </v>
      </c>
      <c r="G5" s="13">
        <f>IF(D$14&gt;=B5,IF(D$14&lt;=D5,((D$14-B5)*E5)+C5," ")," ")</f>
        <v>527.25</v>
      </c>
    </row>
    <row r="6" spans="2:7" s="12" customFormat="1" x14ac:dyDescent="0.2">
      <c r="B6" s="4">
        <v>12450</v>
      </c>
      <c r="C6" s="8">
        <v>1182.75</v>
      </c>
      <c r="D6" s="3">
        <f t="shared" ref="D6:D8" si="0">B7</f>
        <v>17707.2</v>
      </c>
      <c r="E6" s="10">
        <v>0.112</v>
      </c>
      <c r="F6" s="13" t="str">
        <f>IF(D$13&gt;=B6,IF(D$13&lt;=D6,((D$13-B6)*E6)+C6," ")," ")</f>
        <v xml:space="preserve"> </v>
      </c>
      <c r="G6" s="13" t="str">
        <f>IF(D$14&gt;=B6,IF(D$14&lt;=D6,((D$14-B6)*E6)+C6," ")," ")</f>
        <v xml:space="preserve"> </v>
      </c>
    </row>
    <row r="7" spans="2:7" s="12" customFormat="1" x14ac:dyDescent="0.2">
      <c r="B7" s="4">
        <v>17707.2</v>
      </c>
      <c r="C7" s="8">
        <v>1771.56</v>
      </c>
      <c r="D7" s="3">
        <f t="shared" si="0"/>
        <v>33007.199999999997</v>
      </c>
      <c r="E7" s="10">
        <v>0.13300000000000001</v>
      </c>
      <c r="F7" s="13">
        <f>IF(D$13&gt;=B7,IF(D$13&lt;=D7,((D$13-B7)*E7)+C7," ")," ")</f>
        <v>2264.3649</v>
      </c>
      <c r="G7" s="13" t="str">
        <f>IF(D$14&gt;=B7,IF(D$14&lt;=D7,((D$14-B7)*E7)+C7," ")," ")</f>
        <v xml:space="preserve"> </v>
      </c>
    </row>
    <row r="8" spans="2:7" s="12" customFormat="1" x14ac:dyDescent="0.2">
      <c r="B8" s="4">
        <v>33007.199999999997</v>
      </c>
      <c r="C8" s="8">
        <v>3806.46</v>
      </c>
      <c r="D8" s="3">
        <f t="shared" si="0"/>
        <v>53407.199999999997</v>
      </c>
      <c r="E8" s="10">
        <v>0.17899999999999999</v>
      </c>
      <c r="F8" s="13" t="str">
        <f>IF(D$13&gt;=B8,IF(D$13&lt;=D8,((D$13-B8)*E8)+C8," ")," ")</f>
        <v xml:space="preserve"> </v>
      </c>
      <c r="G8" s="13" t="str">
        <f>IF(D$14&gt;=B8,IF(D$14&lt;=D8,((D$14-B8)*E8)+C8," ")," ")</f>
        <v xml:space="preserve"> </v>
      </c>
    </row>
    <row r="9" spans="2:7" s="12" customFormat="1" ht="15.75" thickBot="1" x14ac:dyDescent="0.25">
      <c r="B9" s="5">
        <v>53407.199999999997</v>
      </c>
      <c r="C9" s="9">
        <v>7458.06</v>
      </c>
      <c r="D9" s="21">
        <v>10000000000</v>
      </c>
      <c r="E9" s="11">
        <v>0.21</v>
      </c>
      <c r="F9" s="13" t="str">
        <f>IF(D$13&gt;=B9,IF(D$13&lt;=D9,((D$13-B9)*E9)+C9," ")," ")</f>
        <v xml:space="preserve"> </v>
      </c>
      <c r="G9" s="13" t="str">
        <f>IF(D$14&gt;=B9,IF(D$14&lt;=D9,((D$14-B9)*E9)+C9," ")," ")</f>
        <v xml:space="preserve"> </v>
      </c>
    </row>
    <row r="10" spans="2:7" s="12" customFormat="1" ht="16.5" thickTop="1" thickBot="1" x14ac:dyDescent="0.25"/>
    <row r="11" spans="2:7" s="12" customFormat="1" ht="20.25" thickBot="1" x14ac:dyDescent="0.25">
      <c r="F11" s="14">
        <f>SUM(F5:F9)</f>
        <v>2264.3649</v>
      </c>
      <c r="G11" s="15">
        <f>SUM(G5:G9)</f>
        <v>527.25</v>
      </c>
    </row>
    <row r="12" spans="2:7" s="12" customFormat="1" ht="15.75" thickBot="1" x14ac:dyDescent="0.25"/>
    <row r="13" spans="2:7" s="12" customFormat="1" ht="25.5" thickBot="1" x14ac:dyDescent="0.25">
      <c r="B13" s="141" t="s">
        <v>45</v>
      </c>
      <c r="C13" s="141"/>
      <c r="D13" s="18">
        <f>'RN y MPF'!B10</f>
        <v>21412.5</v>
      </c>
      <c r="F13" s="20">
        <f>F11-G11</f>
        <v>1737.1149</v>
      </c>
    </row>
    <row r="14" spans="2:7" s="12" customFormat="1" ht="18.95" customHeight="1" x14ac:dyDescent="0.2">
      <c r="B14" s="141" t="s">
        <v>46</v>
      </c>
      <c r="C14" s="141"/>
      <c r="D14" s="19">
        <f>'RN y MPF'!F85</f>
        <v>5550</v>
      </c>
    </row>
    <row r="15" spans="2:7" s="12" customFormat="1" x14ac:dyDescent="0.2"/>
    <row r="16" spans="2:7" s="12" customFormat="1" x14ac:dyDescent="0.2"/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  <row r="25" s="12" customFormat="1" x14ac:dyDescent="0.2"/>
    <row r="26" s="12" customFormat="1" x14ac:dyDescent="0.2"/>
    <row r="27" s="12" customFormat="1" x14ac:dyDescent="0.2"/>
    <row r="28" s="12" customFormat="1" x14ac:dyDescent="0.2"/>
  </sheetData>
  <sheetProtection algorithmName="SHA-512" hashValue="fGegajaMDPGPQfhnWhuAacg5ldSUQE9MaOjwmKWjTtwpccmWZA90hbNPVzpDSq4M7nTLIEsTctowyPVweByhEg==" saltValue="TyRZNDs95XiHUiO05+SqiQ==" spinCount="100000" sheet="1" objects="1" scenarios="1" selectLockedCells="1" selectUnlockedCells="1"/>
  <mergeCells count="3">
    <mergeCell ref="B4:E4"/>
    <mergeCell ref="B13:C13"/>
    <mergeCell ref="B14:C14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D26" sqref="D26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5" t="s">
        <v>75</v>
      </c>
      <c r="C4" s="143"/>
      <c r="D4" s="143"/>
      <c r="E4" s="144"/>
      <c r="F4" s="17" t="s">
        <v>0</v>
      </c>
      <c r="G4" s="31" t="s">
        <v>74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0.1</v>
      </c>
      <c r="F5" s="13" t="str">
        <f>IF(D$13&gt;=B5,IF(D$13&lt;=D5,((D$13-B5)*E5)+C5," ")," ")</f>
        <v xml:space="preserve"> </v>
      </c>
      <c r="G5" s="13">
        <f>IF(D$14&gt;=B5,IF(D$14&lt;=D5,((D$14-B5)*E5)+C5," ")," ")</f>
        <v>555</v>
      </c>
    </row>
    <row r="6" spans="2:7" s="12" customFormat="1" x14ac:dyDescent="0.2">
      <c r="B6" s="4">
        <v>12450</v>
      </c>
      <c r="C6" s="8">
        <v>1245</v>
      </c>
      <c r="D6" s="3">
        <f t="shared" ref="D6:D8" si="0">B7</f>
        <v>20200</v>
      </c>
      <c r="E6" s="10">
        <v>0.125</v>
      </c>
      <c r="F6" s="13" t="str">
        <f>IF(D$13&gt;=B6,IF(D$13&lt;=D6,((D$13-B6)*E6)+C6," ")," ")</f>
        <v xml:space="preserve"> </v>
      </c>
      <c r="G6" s="13" t="str">
        <f>IF(D$14&gt;=B6,IF(D$14&lt;=D6,((D$14-B6)*E6)+C6," ")," ")</f>
        <v xml:space="preserve"> </v>
      </c>
    </row>
    <row r="7" spans="2:7" s="12" customFormat="1" x14ac:dyDescent="0.2">
      <c r="B7" s="4">
        <v>20200</v>
      </c>
      <c r="C7" s="8">
        <v>2213.75</v>
      </c>
      <c r="D7" s="3">
        <f t="shared" si="0"/>
        <v>34000</v>
      </c>
      <c r="E7" s="10">
        <v>0.155</v>
      </c>
      <c r="F7" s="13">
        <f>IF(D$13&gt;=B7,IF(D$13&lt;=D7,((D$13-B7)*E7)+C7," ")," ")</f>
        <v>2401.6875</v>
      </c>
      <c r="G7" s="13" t="str">
        <f>IF(D$14&gt;=B7,IF(D$14&lt;=D7,((D$14-B7)*E7)+C7," ")," ")</f>
        <v xml:space="preserve"> </v>
      </c>
    </row>
    <row r="8" spans="2:7" s="12" customFormat="1" x14ac:dyDescent="0.2">
      <c r="B8" s="4">
        <v>34000</v>
      </c>
      <c r="C8" s="8">
        <v>4352.75</v>
      </c>
      <c r="D8" s="3">
        <f t="shared" si="0"/>
        <v>60000</v>
      </c>
      <c r="E8" s="10">
        <v>0.19500000000000001</v>
      </c>
      <c r="F8" s="13" t="str">
        <f>IF(D$13&gt;=B8,IF(D$13&lt;=D8,((D$13-B8)*E8)+C8," ")," ")</f>
        <v xml:space="preserve"> </v>
      </c>
      <c r="G8" s="13" t="str">
        <f>IF(D$14&gt;=B8,IF(D$14&lt;=D8,((D$14-B8)*E8)+C8," ")," ")</f>
        <v xml:space="preserve"> </v>
      </c>
    </row>
    <row r="9" spans="2:7" s="12" customFormat="1" ht="15.75" thickBot="1" x14ac:dyDescent="0.25">
      <c r="B9" s="5">
        <v>60000</v>
      </c>
      <c r="C9" s="9">
        <v>9422.75</v>
      </c>
      <c r="D9" s="21">
        <v>10000000000</v>
      </c>
      <c r="E9" s="11">
        <v>0.23499999999999999</v>
      </c>
      <c r="F9" s="13" t="str">
        <f>IF(D$13&gt;=B9,IF(D$13&lt;=D9,((D$13-B9)*E9)+C9," ")," ")</f>
        <v xml:space="preserve"> </v>
      </c>
      <c r="G9" s="13" t="str">
        <f>IF(D$14&gt;=B9,IF(D$14&lt;=D9,((D$14-B9)*E9)+C9," ")," ")</f>
        <v xml:space="preserve"> </v>
      </c>
    </row>
    <row r="10" spans="2:7" s="12" customFormat="1" ht="16.5" thickTop="1" thickBot="1" x14ac:dyDescent="0.25"/>
    <row r="11" spans="2:7" s="12" customFormat="1" ht="20.25" thickBot="1" x14ac:dyDescent="0.25">
      <c r="F11" s="14">
        <f>SUM(F5:F9)</f>
        <v>2401.6875</v>
      </c>
      <c r="G11" s="15">
        <f>SUM(G5:G9)</f>
        <v>555</v>
      </c>
    </row>
    <row r="12" spans="2:7" s="12" customFormat="1" ht="15.75" thickBot="1" x14ac:dyDescent="0.25"/>
    <row r="13" spans="2:7" s="12" customFormat="1" ht="25.5" thickBot="1" x14ac:dyDescent="0.25">
      <c r="B13" s="141" t="s">
        <v>45</v>
      </c>
      <c r="C13" s="141"/>
      <c r="D13" s="18">
        <f>'RN y MPF'!B10</f>
        <v>21412.5</v>
      </c>
      <c r="F13" s="20">
        <f>F11-G11</f>
        <v>1846.6875</v>
      </c>
    </row>
    <row r="14" spans="2:7" s="12" customFormat="1" ht="18.95" customHeight="1" x14ac:dyDescent="0.2">
      <c r="B14" s="141" t="s">
        <v>46</v>
      </c>
      <c r="C14" s="141"/>
      <c r="D14" s="19">
        <f>'RN y MPF'!F29</f>
        <v>5550</v>
      </c>
    </row>
    <row r="15" spans="2:7" s="12" customFormat="1" x14ac:dyDescent="0.2"/>
    <row r="16" spans="2:7" s="12" customFormat="1" x14ac:dyDescent="0.2"/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  <row r="25" s="12" customFormat="1" x14ac:dyDescent="0.2"/>
    <row r="26" s="12" customFormat="1" x14ac:dyDescent="0.2"/>
    <row r="27" s="12" customFormat="1" x14ac:dyDescent="0.2"/>
    <row r="28" s="12" customFormat="1" x14ac:dyDescent="0.2"/>
  </sheetData>
  <sheetProtection algorithmName="SHA-512" hashValue="1gfTuUJRKhKvTHGn+chSejq9gacHd3LwVp2x5HGFW6CpB/61MX3v/x8t0R+odQAfLA73bRdpGBZpsAh8sDpVmg==" saltValue="BkbdFOcLrw0e+XFqRjeqDg==" spinCount="100000" sheet="1" objects="1" scenarios="1" selectLockedCells="1" selectUnlockedCells="1"/>
  <mergeCells count="3">
    <mergeCell ref="B4:E4"/>
    <mergeCell ref="B13:C13"/>
    <mergeCell ref="B14:C14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workbookViewId="0">
      <selection activeCell="F23" sqref="F23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5" t="s">
        <v>63</v>
      </c>
      <c r="C4" s="143"/>
      <c r="D4" s="143"/>
      <c r="E4" s="144"/>
      <c r="F4" s="17" t="s">
        <v>0</v>
      </c>
      <c r="G4" s="31" t="s">
        <v>62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9.5000000000000001E-2</v>
      </c>
      <c r="F5" s="13" t="str">
        <f>IF(D$15&gt;=B5,IF(D$15&lt;=D5,((D$15-B5)*E5)+C5," ")," ")</f>
        <v xml:space="preserve"> </v>
      </c>
      <c r="G5" s="13">
        <f>IF(D$16&gt;=B5,IF(D$16&lt;=D5,((D$16-B5)*E5)+C5," ")," ")</f>
        <v>527.25</v>
      </c>
    </row>
    <row r="6" spans="2:7" s="12" customFormat="1" x14ac:dyDescent="0.2">
      <c r="B6" s="4">
        <v>12450</v>
      </c>
      <c r="C6" s="8">
        <v>1182.75</v>
      </c>
      <c r="D6" s="3">
        <f t="shared" ref="D6:D10" si="0">B7</f>
        <v>20200</v>
      </c>
      <c r="E6" s="10">
        <v>0.12</v>
      </c>
      <c r="F6" s="13" t="str">
        <f t="shared" ref="F6:F11" si="1">IF(D$15&gt;=B6,IF(D$15&lt;=D6,((D$15-B6)*E6)+C6," ")," ")</f>
        <v xml:space="preserve"> </v>
      </c>
      <c r="G6" s="13" t="str">
        <f t="shared" ref="G6:G11" si="2">IF(D$16&gt;=B6,IF(D$16&lt;=D6,((D$16-B6)*E6)+C6," ")," ")</f>
        <v xml:space="preserve"> </v>
      </c>
    </row>
    <row r="7" spans="2:7" s="12" customFormat="1" x14ac:dyDescent="0.2">
      <c r="B7" s="4">
        <v>20200</v>
      </c>
      <c r="C7" s="8">
        <v>2112.75</v>
      </c>
      <c r="D7" s="3">
        <f t="shared" si="0"/>
        <v>35200</v>
      </c>
      <c r="E7" s="10">
        <v>0.15</v>
      </c>
      <c r="F7" s="13">
        <f t="shared" si="1"/>
        <v>2294.625</v>
      </c>
      <c r="G7" s="13" t="str">
        <f t="shared" si="2"/>
        <v xml:space="preserve"> </v>
      </c>
    </row>
    <row r="8" spans="2:7" s="12" customFormat="1" x14ac:dyDescent="0.2">
      <c r="B8" s="4">
        <v>35200</v>
      </c>
      <c r="C8" s="8">
        <v>4362.75</v>
      </c>
      <c r="D8" s="3">
        <f t="shared" si="0"/>
        <v>50000</v>
      </c>
      <c r="E8" s="10">
        <v>0.19</v>
      </c>
      <c r="F8" s="13" t="str">
        <f t="shared" si="1"/>
        <v xml:space="preserve"> </v>
      </c>
      <c r="G8" s="13" t="str">
        <f t="shared" si="2"/>
        <v xml:space="preserve"> </v>
      </c>
    </row>
    <row r="9" spans="2:7" s="12" customFormat="1" x14ac:dyDescent="0.2">
      <c r="B9" s="4">
        <v>50000</v>
      </c>
      <c r="C9" s="8">
        <v>7174.75</v>
      </c>
      <c r="D9" s="3">
        <f t="shared" si="0"/>
        <v>60000</v>
      </c>
      <c r="E9" s="10">
        <v>0.19500000000000001</v>
      </c>
      <c r="F9" s="13" t="str">
        <f t="shared" si="1"/>
        <v xml:space="preserve"> </v>
      </c>
      <c r="G9" s="13" t="str">
        <f t="shared" si="2"/>
        <v xml:space="preserve"> </v>
      </c>
    </row>
    <row r="10" spans="2:7" s="12" customFormat="1" x14ac:dyDescent="0.2">
      <c r="B10" s="4">
        <v>60000</v>
      </c>
      <c r="C10" s="8">
        <v>9124.75</v>
      </c>
      <c r="D10" s="3">
        <f t="shared" si="0"/>
        <v>120000</v>
      </c>
      <c r="E10" s="10">
        <v>0.23499999999999999</v>
      </c>
      <c r="F10" s="13" t="str">
        <f t="shared" si="1"/>
        <v xml:space="preserve"> </v>
      </c>
      <c r="G10" s="13" t="str">
        <f t="shared" si="2"/>
        <v xml:space="preserve"> </v>
      </c>
    </row>
    <row r="11" spans="2:7" s="12" customFormat="1" ht="15.75" thickBot="1" x14ac:dyDescent="0.25">
      <c r="B11" s="5">
        <v>120000</v>
      </c>
      <c r="C11" s="9">
        <v>23224.75</v>
      </c>
      <c r="D11" s="21">
        <v>10000000000</v>
      </c>
      <c r="E11" s="11">
        <v>0.255</v>
      </c>
      <c r="F11" s="13" t="str">
        <f t="shared" si="1"/>
        <v xml:space="preserve"> </v>
      </c>
      <c r="G11" s="13" t="str">
        <f t="shared" si="2"/>
        <v xml:space="preserve"> </v>
      </c>
    </row>
    <row r="12" spans="2:7" s="12" customFormat="1" ht="16.5" thickTop="1" thickBot="1" x14ac:dyDescent="0.25"/>
    <row r="13" spans="2:7" s="12" customFormat="1" ht="20.25" thickBot="1" x14ac:dyDescent="0.25">
      <c r="F13" s="14">
        <f>SUM(F5:F11)</f>
        <v>2294.625</v>
      </c>
      <c r="G13" s="15">
        <f>SUM(G5:G11)</f>
        <v>527.25</v>
      </c>
    </row>
    <row r="14" spans="2:7" s="12" customFormat="1" ht="15.75" thickBot="1" x14ac:dyDescent="0.25"/>
    <row r="15" spans="2:7" s="12" customFormat="1" ht="25.5" thickBot="1" x14ac:dyDescent="0.25">
      <c r="B15" s="141" t="s">
        <v>45</v>
      </c>
      <c r="C15" s="141"/>
      <c r="D15" s="18">
        <f>'RN y MPF'!B10</f>
        <v>21412.5</v>
      </c>
      <c r="F15" s="20">
        <f>F13-G13</f>
        <v>1767.375</v>
      </c>
    </row>
    <row r="16" spans="2:7" s="12" customFormat="1" ht="18.95" customHeight="1" x14ac:dyDescent="0.2">
      <c r="B16" s="141" t="s">
        <v>46</v>
      </c>
      <c r="C16" s="141"/>
      <c r="D16" s="19">
        <f>'RN y MPF'!F29</f>
        <v>5550</v>
      </c>
    </row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  <row r="25" s="12" customFormat="1" x14ac:dyDescent="0.2"/>
    <row r="26" s="12" customFormat="1" x14ac:dyDescent="0.2"/>
    <row r="27" s="12" customFormat="1" x14ac:dyDescent="0.2"/>
    <row r="28" s="12" customFormat="1" x14ac:dyDescent="0.2"/>
    <row r="29" s="12" customFormat="1" x14ac:dyDescent="0.2"/>
    <row r="30" s="12" customFormat="1" x14ac:dyDescent="0.2"/>
  </sheetData>
  <sheetProtection algorithmName="SHA-512" hashValue="KeKpAoH704irnUDk3ewrQQA3E5ojbbrmW1cfJmqCMN3k5A+s3EoyuVXcoi2maRjlHX3sCU8nAB/LuvkhQfK+NQ==" saltValue="IB2uEFQad58Pu08R9yCaYQ==" spinCount="100000" sheet="1" objects="1" scenarios="1" selectLockedCells="1" selectUnlockedCells="1"/>
  <mergeCells count="3">
    <mergeCell ref="B4:E4"/>
    <mergeCell ref="B15:C15"/>
    <mergeCell ref="B16:C16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G26" sqref="G26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5" t="s">
        <v>76</v>
      </c>
      <c r="C4" s="143"/>
      <c r="D4" s="143"/>
      <c r="E4" s="144"/>
      <c r="F4" s="17" t="s">
        <v>0</v>
      </c>
      <c r="G4" s="31" t="s">
        <v>77</v>
      </c>
    </row>
    <row r="5" spans="2:7" s="12" customFormat="1" x14ac:dyDescent="0.2">
      <c r="B5" s="4">
        <v>0</v>
      </c>
      <c r="C5" s="8">
        <v>0</v>
      </c>
      <c r="D5" s="3">
        <f t="shared" ref="D5:D9" si="0">B6</f>
        <v>17707.2</v>
      </c>
      <c r="E5" s="10">
        <v>0.11899999999999999</v>
      </c>
      <c r="F5" s="13" t="str">
        <f t="shared" ref="F5:F10" si="1">IF(D$14&gt;=B5,IF(D$14&lt;=D5,((D$14-B5)*E5)+C5," ")," ")</f>
        <v xml:space="preserve"> </v>
      </c>
      <c r="G5" s="13">
        <f t="shared" ref="G5:G10" si="2">IF(D$15&gt;=B5,IF(D$15&lt;=D5,((D$15-B5)*E5)+C5," ")," ")</f>
        <v>660.44999999999993</v>
      </c>
    </row>
    <row r="6" spans="2:7" s="12" customFormat="1" x14ac:dyDescent="0.2">
      <c r="B6" s="4">
        <v>17707.2</v>
      </c>
      <c r="C6" s="8">
        <v>2107.16</v>
      </c>
      <c r="D6" s="3">
        <f t="shared" si="0"/>
        <v>33007.199999999997</v>
      </c>
      <c r="E6" s="10">
        <v>0.13919999999999999</v>
      </c>
      <c r="F6" s="13">
        <f t="shared" si="1"/>
        <v>2622.9377599999998</v>
      </c>
      <c r="G6" s="13" t="str">
        <f t="shared" si="2"/>
        <v xml:space="preserve"> </v>
      </c>
    </row>
    <row r="7" spans="2:7" s="12" customFormat="1" x14ac:dyDescent="0.2">
      <c r="B7" s="4">
        <v>33007.199999999997</v>
      </c>
      <c r="C7" s="8">
        <v>4236.92</v>
      </c>
      <c r="D7" s="3">
        <f t="shared" si="0"/>
        <v>53407.199999999997</v>
      </c>
      <c r="E7" s="10">
        <v>0.1845</v>
      </c>
      <c r="F7" s="13" t="str">
        <f t="shared" si="1"/>
        <v xml:space="preserve"> </v>
      </c>
      <c r="G7" s="13" t="str">
        <f t="shared" si="2"/>
        <v xml:space="preserve"> </v>
      </c>
    </row>
    <row r="8" spans="2:7" s="12" customFormat="1" x14ac:dyDescent="0.2">
      <c r="B8" s="4">
        <v>53407.199999999997</v>
      </c>
      <c r="C8" s="8">
        <v>8000.72</v>
      </c>
      <c r="D8" s="3">
        <f t="shared" si="0"/>
        <v>120000.2</v>
      </c>
      <c r="E8" s="10">
        <v>0.21479999999999999</v>
      </c>
      <c r="F8" s="13" t="str">
        <f t="shared" si="1"/>
        <v xml:space="preserve"> </v>
      </c>
      <c r="G8" s="13" t="str">
        <f t="shared" si="2"/>
        <v xml:space="preserve"> </v>
      </c>
    </row>
    <row r="9" spans="2:7" s="12" customFormat="1" x14ac:dyDescent="0.2">
      <c r="B9" s="4">
        <v>120000.2</v>
      </c>
      <c r="C9" s="8">
        <v>22304.9</v>
      </c>
      <c r="D9" s="3">
        <f t="shared" si="0"/>
        <v>175000.2</v>
      </c>
      <c r="E9" s="10">
        <v>0.2248</v>
      </c>
      <c r="F9" s="13" t="str">
        <f t="shared" si="1"/>
        <v xml:space="preserve"> </v>
      </c>
      <c r="G9" s="13" t="str">
        <f t="shared" si="2"/>
        <v xml:space="preserve"> </v>
      </c>
    </row>
    <row r="10" spans="2:7" s="12" customFormat="1" ht="15.75" thickBot="1" x14ac:dyDescent="0.25">
      <c r="B10" s="5">
        <v>175000.2</v>
      </c>
      <c r="C10" s="9">
        <v>34668.9</v>
      </c>
      <c r="D10" s="21">
        <v>10000000000</v>
      </c>
      <c r="E10" s="11">
        <v>0.23480000000000001</v>
      </c>
      <c r="F10" s="13" t="str">
        <f t="shared" si="1"/>
        <v xml:space="preserve"> </v>
      </c>
      <c r="G10" s="13" t="str">
        <f t="shared" si="2"/>
        <v xml:space="preserve"> </v>
      </c>
    </row>
    <row r="11" spans="2:7" s="12" customFormat="1" ht="16.5" thickTop="1" thickBot="1" x14ac:dyDescent="0.25"/>
    <row r="12" spans="2:7" s="12" customFormat="1" ht="20.25" thickBot="1" x14ac:dyDescent="0.25">
      <c r="F12" s="14">
        <f>SUM(F5:F10)</f>
        <v>2622.9377599999998</v>
      </c>
      <c r="G12" s="15">
        <f>SUM(G5:G10)</f>
        <v>660.44999999999993</v>
      </c>
    </row>
    <row r="13" spans="2:7" s="12" customFormat="1" ht="15.75" thickBot="1" x14ac:dyDescent="0.25"/>
    <row r="14" spans="2:7" s="12" customFormat="1" ht="25.5" thickBot="1" x14ac:dyDescent="0.25">
      <c r="B14" s="141" t="s">
        <v>45</v>
      </c>
      <c r="C14" s="141"/>
      <c r="D14" s="18">
        <f>'RN y MPF'!B10</f>
        <v>21412.5</v>
      </c>
      <c r="F14" s="20">
        <f>F12-G12</f>
        <v>1962.48776</v>
      </c>
    </row>
    <row r="15" spans="2:7" s="12" customFormat="1" ht="18.95" customHeight="1" x14ac:dyDescent="0.2">
      <c r="B15" s="141" t="s">
        <v>46</v>
      </c>
      <c r="C15" s="141"/>
      <c r="D15" s="19">
        <f>'RN y MPF'!F29</f>
        <v>5550</v>
      </c>
    </row>
    <row r="16" spans="2:7" s="12" customFormat="1" x14ac:dyDescent="0.2"/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  <row r="25" s="12" customFormat="1" x14ac:dyDescent="0.2"/>
    <row r="26" s="12" customFormat="1" x14ac:dyDescent="0.2"/>
    <row r="27" s="12" customFormat="1" x14ac:dyDescent="0.2"/>
    <row r="28" s="12" customFormat="1" x14ac:dyDescent="0.2"/>
    <row r="29" s="12" customFormat="1" x14ac:dyDescent="0.2"/>
  </sheetData>
  <sheetProtection algorithmName="SHA-512" hashValue="kp8+YUE685NCFb8ZFBHROxsFlcL9TLR+/1zJqECb74W2g7yquF7nzi4o50sKASYsJZjc6SienJ7muKe0iqgoug==" saltValue="7J+Arac6tFL+yCA2vJLxDQ==" spinCount="100000" sheet="1" objects="1" scenarios="1" selectLockedCells="1" selectUnlockedCells="1"/>
  <mergeCells count="3">
    <mergeCell ref="B4:E4"/>
    <mergeCell ref="B14:C14"/>
    <mergeCell ref="B15:C15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6"/>
  <sheetViews>
    <sheetView zoomScale="77" zoomScaleNormal="77" zoomScalePageLayoutView="77" workbookViewId="0">
      <selection activeCell="K23" sqref="K23"/>
    </sheetView>
  </sheetViews>
  <sheetFormatPr baseColWidth="10" defaultColWidth="26.375" defaultRowHeight="27" customHeight="1" x14ac:dyDescent="0.25"/>
  <cols>
    <col min="1" max="1" width="4.625" customWidth="1"/>
    <col min="2" max="2" width="5.5" style="6" hidden="1" customWidth="1"/>
    <col min="3" max="3" width="34.625" hidden="1" customWidth="1"/>
    <col min="4" max="4" width="26.375" style="28" hidden="1" customWidth="1"/>
    <col min="5" max="5" width="26.375" hidden="1" customWidth="1"/>
    <col min="6" max="6" width="13.125" style="95" hidden="1" customWidth="1"/>
    <col min="7" max="7" width="5.875" style="6" hidden="1" customWidth="1"/>
    <col min="8" max="8" width="37.5" style="6" customWidth="1"/>
    <col min="9" max="9" width="16.125" style="26" customWidth="1"/>
    <col min="10" max="10" width="12.875" style="95" customWidth="1"/>
    <col min="11" max="22" width="26.375" style="6"/>
  </cols>
  <sheetData>
    <row r="1" spans="1:10" ht="27" customHeight="1" thickBot="1" x14ac:dyDescent="0.3">
      <c r="A1" s="6"/>
      <c r="C1" s="6"/>
      <c r="D1" s="26"/>
      <c r="E1" s="6"/>
    </row>
    <row r="2" spans="1:10" ht="27" customHeight="1" thickBot="1" x14ac:dyDescent="0.3">
      <c r="A2" s="6"/>
      <c r="C2" s="6"/>
      <c r="D2" s="33"/>
      <c r="E2" s="1">
        <v>2016</v>
      </c>
      <c r="F2" s="1" t="s">
        <v>107</v>
      </c>
      <c r="I2" s="1">
        <v>2016</v>
      </c>
      <c r="J2" s="1" t="s">
        <v>107</v>
      </c>
    </row>
    <row r="3" spans="1:10" ht="27" customHeight="1" thickBot="1" x14ac:dyDescent="0.4">
      <c r="A3" s="6"/>
      <c r="C3" s="117" t="s">
        <v>112</v>
      </c>
      <c r="D3" s="119">
        <f>'CUOTA ESTATAL'!F15</f>
        <v>3534.75</v>
      </c>
      <c r="E3" s="119">
        <f>IF(D3&lt;0,0,D3)</f>
        <v>3534.75</v>
      </c>
      <c r="F3" s="120">
        <f>E3/'DATOS A INTRODUCIR'!$C$2</f>
        <v>0.14138999999999999</v>
      </c>
      <c r="H3" s="124" t="s">
        <v>112</v>
      </c>
      <c r="I3" s="122">
        <f>E3</f>
        <v>3534.75</v>
      </c>
      <c r="J3" s="121">
        <f>F3</f>
        <v>0.14138999999999999</v>
      </c>
    </row>
    <row r="4" spans="1:10" ht="27" customHeight="1" thickBot="1" x14ac:dyDescent="0.3">
      <c r="A4" s="6"/>
      <c r="B4" s="6">
        <v>1</v>
      </c>
      <c r="C4" s="22" t="s">
        <v>30</v>
      </c>
      <c r="D4" s="7">
        <f>'CUOTA ESTATAL'!F13+ANDALUCIA!F16</f>
        <v>3569.25</v>
      </c>
      <c r="E4" s="7">
        <f>IF(D4&lt;0,0,D4)</f>
        <v>3569.25</v>
      </c>
      <c r="F4" s="96">
        <f>E4/'DATOS A INTRODUCIR'!$C$2</f>
        <v>0.14277000000000001</v>
      </c>
      <c r="G4" s="26">
        <f>RANK(E4,$E$4:$E$18,)+COUNTIF($E$4:E4,E4)-1</f>
        <v>9</v>
      </c>
      <c r="H4" s="123" t="str">
        <f>INDEX($C$4:$C$18,MATCH(B4,$G$4:$G$18,0))</f>
        <v>CATALUÑA</v>
      </c>
      <c r="I4" s="7">
        <f>LARGE($E$4:$E$18,B4)</f>
        <v>3744.9769999999999</v>
      </c>
      <c r="J4" s="97">
        <f>LARGE($F$4:$F$18,B4)</f>
        <v>0.14979908</v>
      </c>
    </row>
    <row r="5" spans="1:10" ht="27" customHeight="1" thickBot="1" x14ac:dyDescent="0.3">
      <c r="A5" s="6"/>
      <c r="B5" s="6">
        <v>2</v>
      </c>
      <c r="C5" s="22" t="s">
        <v>31</v>
      </c>
      <c r="D5" s="7">
        <f>'CUOTA ESTATAL'!F13+ARAGÓN!F18</f>
        <v>3614.0625</v>
      </c>
      <c r="E5" s="7">
        <f t="shared" ref="E5:E18" si="0">IF(D5&lt;0,0,D5)</f>
        <v>3614.0625</v>
      </c>
      <c r="F5" s="96">
        <f>E5/'DATOS A INTRODUCIR'!$C$2</f>
        <v>0.14456250000000001</v>
      </c>
      <c r="G5" s="26">
        <f>RANK(E5,$E$4:$E$18,)+COUNTIF($E$4:E5,E5)-1</f>
        <v>5</v>
      </c>
      <c r="H5" s="115" t="str">
        <f t="shared" ref="H5:H18" si="1">INDEX($C$4:$C$18,MATCH(B5,$G$4:$G$18,0))</f>
        <v>VALENCIA</v>
      </c>
      <c r="I5" s="7">
        <f t="shared" ref="I5:I18" si="2">LARGE($E$4:$E$18,B5)</f>
        <v>3729.86276</v>
      </c>
      <c r="J5" s="97">
        <f t="shared" ref="J5:J18" si="3">LARGE($F$4:$F$18,B5)</f>
        <v>0.14919451040000001</v>
      </c>
    </row>
    <row r="6" spans="1:10" ht="27" customHeight="1" thickBot="1" x14ac:dyDescent="0.3">
      <c r="A6" s="6"/>
      <c r="B6" s="6">
        <v>3</v>
      </c>
      <c r="C6" s="22" t="s">
        <v>33</v>
      </c>
      <c r="D6" s="7">
        <f>'CUOTA ESTATAL'!F13+ASTURIAS!F16</f>
        <v>3606.9769999999999</v>
      </c>
      <c r="E6" s="7">
        <f t="shared" si="0"/>
        <v>3606.9769999999999</v>
      </c>
      <c r="F6" s="96">
        <f>E6/'DATOS A INTRODUCIR'!$C$2</f>
        <v>0.14427908</v>
      </c>
      <c r="G6" s="26">
        <f>RANK(E6,$E$4:$E$18,)+COUNTIF($E$4:E6,E6)-1</f>
        <v>7</v>
      </c>
      <c r="H6" s="115" t="str">
        <f t="shared" si="1"/>
        <v>EXTREMADURA</v>
      </c>
      <c r="I6" s="7">
        <f t="shared" si="2"/>
        <v>3648.5625</v>
      </c>
      <c r="J6" s="97">
        <f t="shared" si="3"/>
        <v>0.1459425</v>
      </c>
    </row>
    <row r="7" spans="1:10" ht="27" customHeight="1" thickBot="1" x14ac:dyDescent="0.3">
      <c r="A7" s="6"/>
      <c r="B7" s="6">
        <v>4</v>
      </c>
      <c r="C7" s="29" t="s">
        <v>32</v>
      </c>
      <c r="D7" s="27">
        <f>'CUOTA ESTATAL'!F13+BALEARES!F17</f>
        <v>3633.46875</v>
      </c>
      <c r="E7" s="7">
        <f t="shared" si="0"/>
        <v>3633.46875</v>
      </c>
      <c r="F7" s="96">
        <f>E7/'DATOS A INTRODUCIR'!$C$2</f>
        <v>0.14533874999999999</v>
      </c>
      <c r="G7" s="26">
        <f>RANK(E7,$E$4:$E$18,)+COUNTIF($E$4:E7,E7)-1</f>
        <v>4</v>
      </c>
      <c r="H7" s="115" t="str">
        <f t="shared" si="1"/>
        <v>ILLES BALEARS</v>
      </c>
      <c r="I7" s="7">
        <f t="shared" si="2"/>
        <v>3633.46875</v>
      </c>
      <c r="J7" s="97">
        <f t="shared" si="3"/>
        <v>0.14533874999999999</v>
      </c>
    </row>
    <row r="8" spans="1:10" ht="27" customHeight="1" thickBot="1" x14ac:dyDescent="0.3">
      <c r="A8" s="6"/>
      <c r="B8" s="6">
        <v>5</v>
      </c>
      <c r="C8" s="29" t="s">
        <v>34</v>
      </c>
      <c r="D8" s="27">
        <f>'CUOTA ESTATAL'!F13+CANARIAS!F14</f>
        <v>3572.4756000000002</v>
      </c>
      <c r="E8" s="7">
        <f t="shared" si="0"/>
        <v>3572.4756000000002</v>
      </c>
      <c r="F8" s="96">
        <f>E8/'DATOS A INTRODUCIR'!$C$2</f>
        <v>0.14289902400000001</v>
      </c>
      <c r="G8" s="26">
        <f>RANK(E8,$E$4:$E$18,)+COUNTIF($E$4:E8,E8)-1</f>
        <v>8</v>
      </c>
      <c r="H8" s="115" t="str">
        <f t="shared" si="1"/>
        <v>ARAGÓN</v>
      </c>
      <c r="I8" s="7">
        <f t="shared" si="2"/>
        <v>3614.0625</v>
      </c>
      <c r="J8" s="97">
        <f t="shared" si="3"/>
        <v>0.14456250000000001</v>
      </c>
    </row>
    <row r="9" spans="1:10" ht="27" customHeight="1" thickBot="1" x14ac:dyDescent="0.3">
      <c r="A9" s="6"/>
      <c r="B9" s="6">
        <v>6</v>
      </c>
      <c r="C9" s="29" t="s">
        <v>35</v>
      </c>
      <c r="D9" s="27">
        <f>'CUOTA ESTATAL'!F13+CANTABRIA!F15</f>
        <v>3534.75</v>
      </c>
      <c r="E9" s="7">
        <f t="shared" si="0"/>
        <v>3534.75</v>
      </c>
      <c r="F9" s="96">
        <f>E9/'DATOS A INTRODUCIR'!$C$2</f>
        <v>0.14138999999999999</v>
      </c>
      <c r="G9" s="26">
        <f>RANK(E9,$E$4:$E$18,)+COUNTIF($E$4:E9,E9)-1</f>
        <v>10</v>
      </c>
      <c r="H9" s="115" t="str">
        <f t="shared" si="1"/>
        <v>REGIÓN DE MURCIA</v>
      </c>
      <c r="I9" s="7">
        <f t="shared" si="2"/>
        <v>3614.0625</v>
      </c>
      <c r="J9" s="97">
        <f t="shared" si="3"/>
        <v>0.14456250000000001</v>
      </c>
    </row>
    <row r="10" spans="1:10" ht="24" thickBot="1" x14ac:dyDescent="0.3">
      <c r="A10" s="6"/>
      <c r="B10" s="6">
        <v>7</v>
      </c>
      <c r="C10" s="29" t="s">
        <v>36</v>
      </c>
      <c r="D10" s="27">
        <f>'CUOTA ESTATAL'!F13+CyLeón!F13</f>
        <v>3522.625</v>
      </c>
      <c r="E10" s="7">
        <f t="shared" si="0"/>
        <v>3522.625</v>
      </c>
      <c r="F10" s="96">
        <f>E10/'DATOS A INTRODUCIR'!$C$2</f>
        <v>0.140905</v>
      </c>
      <c r="G10" s="26">
        <f>RANK(E10,$E$4:$E$18,)+COUNTIF($E$4:E10,E10)-1</f>
        <v>13</v>
      </c>
      <c r="H10" s="115" t="str">
        <f>INDEX($C$4:$C$18,MATCH(B10,$G$4:$G$18,0))</f>
        <v>PRINCIPADO DE ASTURIAS</v>
      </c>
      <c r="I10" s="7">
        <f t="shared" si="2"/>
        <v>3606.9769999999999</v>
      </c>
      <c r="J10" s="97">
        <f t="shared" si="3"/>
        <v>0.14427908</v>
      </c>
    </row>
    <row r="11" spans="1:10" ht="24" thickBot="1" x14ac:dyDescent="0.3">
      <c r="A11" s="6"/>
      <c r="B11" s="6">
        <v>8</v>
      </c>
      <c r="C11" s="30" t="s">
        <v>37</v>
      </c>
      <c r="D11" s="7">
        <f>'CUOTA ESTATAL'!F13+'C-La Mancha'!F13</f>
        <v>3534.75</v>
      </c>
      <c r="E11" s="7">
        <f t="shared" si="0"/>
        <v>3534.75</v>
      </c>
      <c r="F11" s="96">
        <f>E11/'DATOS A INTRODUCIR'!$C$2</f>
        <v>0.14138999999999999</v>
      </c>
      <c r="G11" s="26">
        <f>RANK(E11,$E$4:$E$18,)+COUNTIF($E$4:E11,E11)-1</f>
        <v>11</v>
      </c>
      <c r="H11" s="115" t="str">
        <f t="shared" si="1"/>
        <v>ISLAS CANARIAS</v>
      </c>
      <c r="I11" s="7">
        <f t="shared" si="2"/>
        <v>3572.4756000000002</v>
      </c>
      <c r="J11" s="97">
        <f t="shared" si="3"/>
        <v>0.14289902400000001</v>
      </c>
    </row>
    <row r="12" spans="1:10" ht="24" thickBot="1" x14ac:dyDescent="0.3">
      <c r="A12" s="6"/>
      <c r="B12" s="6">
        <v>9</v>
      </c>
      <c r="C12" s="30" t="s">
        <v>38</v>
      </c>
      <c r="D12" s="7">
        <f>'CUOTA ESTATAL'!F13+CATALUÑA!F14</f>
        <v>3744.9769999999999</v>
      </c>
      <c r="E12" s="7">
        <f t="shared" si="0"/>
        <v>3744.9769999999999</v>
      </c>
      <c r="F12" s="96">
        <f>E12/'DATOS A INTRODUCIR'!$C$2</f>
        <v>0.14979908</v>
      </c>
      <c r="G12" s="26">
        <f>RANK(E12,$E$4:$E$18,)+COUNTIF($E$4:E12,E12)-1</f>
        <v>1</v>
      </c>
      <c r="H12" s="115" t="str">
        <f t="shared" si="1"/>
        <v>ANDALUCÍA</v>
      </c>
      <c r="I12" s="7">
        <f t="shared" si="2"/>
        <v>3569.25</v>
      </c>
      <c r="J12" s="97">
        <f t="shared" si="3"/>
        <v>0.14277000000000001</v>
      </c>
    </row>
    <row r="13" spans="1:10" ht="27" customHeight="1" thickBot="1" x14ac:dyDescent="0.3">
      <c r="A13" s="6"/>
      <c r="B13" s="6">
        <v>10</v>
      </c>
      <c r="C13" s="29" t="s">
        <v>39</v>
      </c>
      <c r="D13" s="7">
        <f>'CUOTA ESTATAL'!F13+EXTREMADURA!F17</f>
        <v>3648.5625</v>
      </c>
      <c r="E13" s="7">
        <f t="shared" si="0"/>
        <v>3648.5625</v>
      </c>
      <c r="F13" s="96">
        <f>E13/'DATOS A INTRODUCIR'!$C$2</f>
        <v>0.1459425</v>
      </c>
      <c r="G13" s="26">
        <f>RANK(E13,$E$4:$E$18,)+COUNTIF($E$4:E13,E13)-1</f>
        <v>3</v>
      </c>
      <c r="H13" s="115" t="str">
        <f t="shared" si="1"/>
        <v>CANTABRIA</v>
      </c>
      <c r="I13" s="7">
        <f t="shared" si="2"/>
        <v>3534.75</v>
      </c>
      <c r="J13" s="97">
        <f t="shared" si="3"/>
        <v>0.14138999999999999</v>
      </c>
    </row>
    <row r="14" spans="1:10" ht="27" customHeight="1" thickBot="1" x14ac:dyDescent="0.3">
      <c r="A14" s="6"/>
      <c r="B14" s="6">
        <v>11</v>
      </c>
      <c r="C14" s="29" t="s">
        <v>40</v>
      </c>
      <c r="D14" s="7">
        <f>'CUOTA ESTATAL'!F13+GALICIA!F15</f>
        <v>3521.4425000000001</v>
      </c>
      <c r="E14" s="7">
        <f t="shared" si="0"/>
        <v>3521.4425000000001</v>
      </c>
      <c r="F14" s="96">
        <f>E14/'DATOS A INTRODUCIR'!$C$2</f>
        <v>0.1408577</v>
      </c>
      <c r="G14" s="26">
        <f>RANK(E14,$E$4:$E$18,)+COUNTIF($E$4:E14,E14)-1</f>
        <v>14</v>
      </c>
      <c r="H14" s="115" t="str">
        <f t="shared" si="1"/>
        <v>CASTILLA LA MANCHA</v>
      </c>
      <c r="I14" s="7">
        <f t="shared" si="2"/>
        <v>3534.75</v>
      </c>
      <c r="J14" s="97">
        <f t="shared" si="3"/>
        <v>0.14138999999999999</v>
      </c>
    </row>
    <row r="15" spans="1:10" ht="27" customHeight="1" thickBot="1" x14ac:dyDescent="0.3">
      <c r="A15" s="6"/>
      <c r="B15" s="6">
        <v>12</v>
      </c>
      <c r="C15" s="29" t="s">
        <v>41</v>
      </c>
      <c r="D15" s="7">
        <f>'CUOTA ESTATAL'!F13+MADRID!F13</f>
        <v>3504.4899</v>
      </c>
      <c r="E15" s="7">
        <f t="shared" si="0"/>
        <v>3504.4899</v>
      </c>
      <c r="F15" s="96">
        <f>E15/'DATOS A INTRODUCIR'!$C$2</f>
        <v>0.14017959599999999</v>
      </c>
      <c r="G15" s="26">
        <f>RANK(E15,$E$4:$E$18,)+COUNTIF($E$4:E15,E15)-1</f>
        <v>15</v>
      </c>
      <c r="H15" s="115" t="str">
        <f t="shared" si="1"/>
        <v>LA RIOJA</v>
      </c>
      <c r="I15" s="7">
        <f t="shared" si="2"/>
        <v>3534.75</v>
      </c>
      <c r="J15" s="97">
        <f t="shared" si="3"/>
        <v>0.14138999999999999</v>
      </c>
    </row>
    <row r="16" spans="1:10" ht="27" customHeight="1" thickBot="1" x14ac:dyDescent="0.3">
      <c r="A16" s="6"/>
      <c r="B16" s="6">
        <v>13</v>
      </c>
      <c r="C16" s="29" t="s">
        <v>42</v>
      </c>
      <c r="D16" s="7">
        <f>'CUOTA ESTATAL'!F13+MURCIA!F13</f>
        <v>3614.0625</v>
      </c>
      <c r="E16" s="7">
        <f t="shared" si="0"/>
        <v>3614.0625</v>
      </c>
      <c r="F16" s="96">
        <f>E16/'DATOS A INTRODUCIR'!$C$2</f>
        <v>0.14456250000000001</v>
      </c>
      <c r="G16" s="26">
        <f>RANK(E16,$E$4:$E$18,)+COUNTIF($E$4:E16,E16)-1</f>
        <v>6</v>
      </c>
      <c r="H16" s="115" t="str">
        <f t="shared" si="1"/>
        <v>CASTILLA Y LEÓN</v>
      </c>
      <c r="I16" s="7">
        <f>LARGE($E$4:$E$18,B16)</f>
        <v>3522.625</v>
      </c>
      <c r="J16" s="97">
        <f t="shared" si="3"/>
        <v>0.140905</v>
      </c>
    </row>
    <row r="17" spans="1:10" ht="27" customHeight="1" thickBot="1" x14ac:dyDescent="0.3">
      <c r="A17" s="6"/>
      <c r="B17" s="6">
        <v>14</v>
      </c>
      <c r="C17" s="29" t="s">
        <v>43</v>
      </c>
      <c r="D17" s="7">
        <f>'CUOTA ESTATAL'!F13+'La RIOJA'!F15</f>
        <v>3534.75</v>
      </c>
      <c r="E17" s="7">
        <f t="shared" si="0"/>
        <v>3534.75</v>
      </c>
      <c r="F17" s="96">
        <f>E17/'DATOS A INTRODUCIR'!$C$2</f>
        <v>0.14138999999999999</v>
      </c>
      <c r="G17" s="26">
        <f>RANK(E17,$E$4:$E$18,)+COUNTIF($E$4:E17,E17)-1</f>
        <v>12</v>
      </c>
      <c r="H17" s="115" t="str">
        <f t="shared" si="1"/>
        <v>GALICIA</v>
      </c>
      <c r="I17" s="7">
        <f t="shared" si="2"/>
        <v>3521.4425000000001</v>
      </c>
      <c r="J17" s="97">
        <f t="shared" si="3"/>
        <v>0.1408577</v>
      </c>
    </row>
    <row r="18" spans="1:10" ht="27" customHeight="1" thickBot="1" x14ac:dyDescent="0.3">
      <c r="A18" s="6"/>
      <c r="B18" s="6">
        <v>15</v>
      </c>
      <c r="C18" s="22" t="s">
        <v>44</v>
      </c>
      <c r="D18" s="7">
        <f>'CUOTA ESTATAL'!F13+VALENCIA!F14</f>
        <v>3729.86276</v>
      </c>
      <c r="E18" s="7">
        <f t="shared" si="0"/>
        <v>3729.86276</v>
      </c>
      <c r="F18" s="96">
        <f>E18/'DATOS A INTRODUCIR'!$C$2</f>
        <v>0.14919451040000001</v>
      </c>
      <c r="G18" s="26">
        <f>RANK(E18,$E$4:$E$18,)+COUNTIF($E$4:E18,E18)-1</f>
        <v>2</v>
      </c>
      <c r="H18" s="115" t="str">
        <f t="shared" si="1"/>
        <v>MADRID</v>
      </c>
      <c r="I18" s="7">
        <f t="shared" si="2"/>
        <v>3504.4899</v>
      </c>
      <c r="J18" s="97">
        <f t="shared" si="3"/>
        <v>0.14017959599999999</v>
      </c>
    </row>
    <row r="19" spans="1:10" s="6" customFormat="1" ht="27" customHeight="1" thickBot="1" x14ac:dyDescent="0.3"/>
    <row r="20" spans="1:10" s="6" customFormat="1" ht="27" customHeight="1" thickBot="1" x14ac:dyDescent="0.3">
      <c r="D20" s="26"/>
      <c r="F20" s="95"/>
      <c r="H20" s="129" t="s">
        <v>115</v>
      </c>
      <c r="I20" s="130">
        <f>'CUOTA ESTATAL'!F17</f>
        <v>0.14130000000000001</v>
      </c>
      <c r="J20" s="95"/>
    </row>
    <row r="21" spans="1:10" s="6" customFormat="1" ht="27" customHeight="1" thickBot="1" x14ac:dyDescent="0.3">
      <c r="D21" s="26"/>
      <c r="F21" s="95"/>
      <c r="H21" s="129" t="s">
        <v>116</v>
      </c>
      <c r="I21" s="131">
        <f>I20*'DATOS A INTRODUCIR'!C2</f>
        <v>3532.5</v>
      </c>
      <c r="J21" s="95"/>
    </row>
    <row r="22" spans="1:10" s="6" customFormat="1" ht="27" customHeight="1" x14ac:dyDescent="0.25">
      <c r="D22" s="26"/>
      <c r="F22" s="95"/>
      <c r="I22" s="26"/>
      <c r="J22" s="95"/>
    </row>
    <row r="23" spans="1:10" s="6" customFormat="1" ht="27" customHeight="1" x14ac:dyDescent="0.25">
      <c r="D23" s="26"/>
      <c r="F23" s="95"/>
      <c r="I23" s="26"/>
      <c r="J23" s="95"/>
    </row>
    <row r="24" spans="1:10" s="6" customFormat="1" ht="27" customHeight="1" x14ac:dyDescent="0.25">
      <c r="D24" s="26"/>
      <c r="F24" s="95"/>
      <c r="I24" s="26"/>
      <c r="J24" s="95"/>
    </row>
    <row r="25" spans="1:10" s="6" customFormat="1" ht="27" customHeight="1" x14ac:dyDescent="0.25">
      <c r="D25" s="26"/>
      <c r="F25" s="95"/>
      <c r="I25" s="26"/>
      <c r="J25" s="95"/>
    </row>
    <row r="26" spans="1:10" s="6" customFormat="1" ht="27" customHeight="1" x14ac:dyDescent="0.25">
      <c r="D26" s="26"/>
      <c r="F26" s="95"/>
      <c r="I26" s="26"/>
      <c r="J26" s="95"/>
    </row>
    <row r="27" spans="1:10" s="6" customFormat="1" ht="27" customHeight="1" x14ac:dyDescent="0.25">
      <c r="D27" s="26"/>
      <c r="F27" s="95"/>
      <c r="I27" s="26"/>
      <c r="J27" s="95"/>
    </row>
    <row r="28" spans="1:10" s="6" customFormat="1" ht="27" customHeight="1" x14ac:dyDescent="0.25">
      <c r="D28" s="26"/>
      <c r="F28" s="95"/>
      <c r="I28" s="26"/>
      <c r="J28" s="95"/>
    </row>
    <row r="29" spans="1:10" s="6" customFormat="1" ht="27" customHeight="1" x14ac:dyDescent="0.25">
      <c r="D29" s="26"/>
      <c r="F29" s="95"/>
      <c r="I29" s="26"/>
      <c r="J29" s="95"/>
    </row>
    <row r="30" spans="1:10" s="6" customFormat="1" ht="27" customHeight="1" x14ac:dyDescent="0.25">
      <c r="D30" s="26"/>
      <c r="F30" s="95"/>
      <c r="I30" s="26"/>
      <c r="J30" s="95"/>
    </row>
    <row r="31" spans="1:10" s="6" customFormat="1" ht="27" customHeight="1" x14ac:dyDescent="0.25">
      <c r="D31" s="26"/>
      <c r="F31" s="95"/>
      <c r="I31" s="26"/>
      <c r="J31" s="95"/>
    </row>
    <row r="32" spans="1:10" s="6" customFormat="1" ht="27" customHeight="1" x14ac:dyDescent="0.25">
      <c r="D32" s="26"/>
      <c r="F32" s="95"/>
      <c r="I32" s="26"/>
      <c r="J32" s="95"/>
    </row>
    <row r="33" spans="1:10" s="6" customFormat="1" ht="27" customHeight="1" x14ac:dyDescent="0.25">
      <c r="D33" s="26"/>
      <c r="F33" s="95"/>
      <c r="I33" s="26"/>
      <c r="J33" s="95"/>
    </row>
    <row r="34" spans="1:10" s="6" customFormat="1" ht="27" customHeight="1" x14ac:dyDescent="0.25">
      <c r="F34" s="95"/>
      <c r="I34" s="26"/>
      <c r="J34" s="95"/>
    </row>
    <row r="35" spans="1:10" s="6" customFormat="1" ht="27" customHeight="1" x14ac:dyDescent="0.25">
      <c r="F35" s="95"/>
      <c r="I35" s="26"/>
      <c r="J35" s="95"/>
    </row>
    <row r="36" spans="1:10" s="6" customFormat="1" ht="27" customHeight="1" x14ac:dyDescent="0.25">
      <c r="F36" s="95"/>
      <c r="I36" s="26"/>
      <c r="J36" s="95"/>
    </row>
    <row r="37" spans="1:10" ht="27" customHeight="1" x14ac:dyDescent="0.25">
      <c r="A37" s="6"/>
      <c r="C37" s="6"/>
      <c r="D37" s="6"/>
      <c r="E37" s="6"/>
    </row>
    <row r="38" spans="1:10" ht="27" customHeight="1" x14ac:dyDescent="0.25">
      <c r="A38" s="6"/>
      <c r="C38" s="6"/>
      <c r="D38" s="6"/>
      <c r="E38" s="6"/>
    </row>
    <row r="39" spans="1:10" ht="27" customHeight="1" x14ac:dyDescent="0.25">
      <c r="A39" s="6"/>
      <c r="C39" s="6"/>
      <c r="D39" s="6"/>
      <c r="E39" s="6"/>
    </row>
    <row r="40" spans="1:10" ht="27" customHeight="1" x14ac:dyDescent="0.25">
      <c r="A40" s="6"/>
      <c r="C40" s="6"/>
      <c r="D40" s="6"/>
      <c r="E40" s="6"/>
    </row>
    <row r="41" spans="1:10" ht="27" customHeight="1" x14ac:dyDescent="0.25">
      <c r="A41" s="6"/>
      <c r="C41" s="6"/>
      <c r="D41" s="6"/>
      <c r="E41" s="6"/>
    </row>
    <row r="42" spans="1:10" ht="27" customHeight="1" x14ac:dyDescent="0.25">
      <c r="A42" s="6"/>
      <c r="C42" s="6"/>
      <c r="D42" s="6"/>
      <c r="E42" s="6"/>
    </row>
    <row r="43" spans="1:10" ht="27" customHeight="1" x14ac:dyDescent="0.25">
      <c r="A43" s="6"/>
      <c r="C43" s="6"/>
      <c r="D43" s="6"/>
      <c r="E43" s="6"/>
    </row>
    <row r="44" spans="1:10" ht="27" customHeight="1" x14ac:dyDescent="0.25">
      <c r="A44" s="6"/>
      <c r="C44" s="6"/>
      <c r="D44" s="6"/>
      <c r="E44" s="6"/>
    </row>
    <row r="45" spans="1:10" ht="27" customHeight="1" x14ac:dyDescent="0.25">
      <c r="A45" s="6"/>
      <c r="C45" s="6"/>
      <c r="D45" s="6"/>
      <c r="E45" s="6"/>
    </row>
    <row r="46" spans="1:10" ht="27" customHeight="1" x14ac:dyDescent="0.25">
      <c r="A46" s="6"/>
      <c r="C46" s="6"/>
      <c r="D46" s="6"/>
      <c r="E46" s="6"/>
    </row>
    <row r="47" spans="1:10" ht="27" customHeight="1" x14ac:dyDescent="0.25">
      <c r="A47" s="6"/>
      <c r="C47" s="6"/>
      <c r="D47" s="6"/>
      <c r="E47" s="6"/>
    </row>
    <row r="48" spans="1:10" ht="27" customHeight="1" x14ac:dyDescent="0.25">
      <c r="A48" s="6"/>
      <c r="C48" s="6"/>
      <c r="D48" s="6"/>
      <c r="E48" s="6"/>
    </row>
    <row r="49" spans="1:5" ht="27" customHeight="1" x14ac:dyDescent="0.25">
      <c r="A49" s="6"/>
      <c r="C49" s="6"/>
      <c r="D49" s="6"/>
      <c r="E49" s="6"/>
    </row>
    <row r="50" spans="1:5" ht="27" customHeight="1" x14ac:dyDescent="0.25">
      <c r="A50" s="6"/>
      <c r="C50" s="6"/>
      <c r="D50" s="6"/>
      <c r="E50" s="6"/>
    </row>
    <row r="51" spans="1:5" ht="27" customHeight="1" x14ac:dyDescent="0.25">
      <c r="A51" s="6"/>
      <c r="C51" s="6"/>
      <c r="D51" s="6"/>
      <c r="E51" s="6"/>
    </row>
    <row r="52" spans="1:5" ht="27" customHeight="1" x14ac:dyDescent="0.25">
      <c r="A52" s="6"/>
      <c r="C52" s="6"/>
      <c r="D52" s="6"/>
      <c r="E52" s="6"/>
    </row>
    <row r="53" spans="1:5" ht="27" customHeight="1" x14ac:dyDescent="0.25">
      <c r="A53" s="6"/>
      <c r="C53" s="6"/>
      <c r="D53" s="6"/>
      <c r="E53" s="6"/>
    </row>
    <row r="54" spans="1:5" ht="27" customHeight="1" x14ac:dyDescent="0.25">
      <c r="A54" s="6"/>
      <c r="C54" s="6"/>
      <c r="D54" s="6"/>
      <c r="E54" s="6"/>
    </row>
    <row r="55" spans="1:5" ht="27" customHeight="1" x14ac:dyDescent="0.25">
      <c r="A55" s="6"/>
      <c r="C55" s="6"/>
      <c r="D55" s="6"/>
      <c r="E55" s="6"/>
    </row>
    <row r="56" spans="1:5" ht="27" customHeight="1" x14ac:dyDescent="0.25">
      <c r="A56" s="6"/>
      <c r="C56" s="6"/>
      <c r="D56" s="6"/>
      <c r="E56" s="6"/>
    </row>
    <row r="57" spans="1:5" ht="27" customHeight="1" x14ac:dyDescent="0.25">
      <c r="A57" s="6"/>
      <c r="C57" s="6"/>
      <c r="D57" s="6"/>
      <c r="E57" s="6"/>
    </row>
    <row r="58" spans="1:5" ht="27" customHeight="1" x14ac:dyDescent="0.25">
      <c r="A58" s="6"/>
      <c r="C58" s="6"/>
      <c r="D58" s="6"/>
      <c r="E58" s="6"/>
    </row>
    <row r="59" spans="1:5" ht="27" customHeight="1" x14ac:dyDescent="0.25">
      <c r="A59" s="6"/>
      <c r="C59" s="6"/>
      <c r="D59" s="6"/>
      <c r="E59" s="6"/>
    </row>
    <row r="60" spans="1:5" ht="27" customHeight="1" x14ac:dyDescent="0.25">
      <c r="A60" s="6"/>
      <c r="C60" s="6"/>
      <c r="D60" s="6"/>
      <c r="E60" s="6"/>
    </row>
    <row r="61" spans="1:5" ht="27" customHeight="1" x14ac:dyDescent="0.25">
      <c r="A61" s="6"/>
      <c r="C61" s="6"/>
      <c r="D61" s="6"/>
      <c r="E61" s="6"/>
    </row>
    <row r="62" spans="1:5" ht="27" customHeight="1" x14ac:dyDescent="0.25">
      <c r="A62" s="6"/>
      <c r="C62" s="6"/>
      <c r="D62" s="6"/>
      <c r="E62" s="6"/>
    </row>
    <row r="63" spans="1:5" ht="27" customHeight="1" x14ac:dyDescent="0.25">
      <c r="A63" s="6"/>
      <c r="C63" s="6"/>
      <c r="D63" s="6"/>
      <c r="E63" s="6"/>
    </row>
    <row r="64" spans="1:5" ht="27" customHeight="1" x14ac:dyDescent="0.25">
      <c r="A64" s="6"/>
      <c r="C64" s="6"/>
      <c r="D64" s="6"/>
      <c r="E64" s="6"/>
    </row>
    <row r="65" spans="1:5" ht="27" customHeight="1" x14ac:dyDescent="0.25">
      <c r="A65" s="6"/>
      <c r="C65" s="6"/>
      <c r="D65" s="6"/>
      <c r="E65" s="6"/>
    </row>
    <row r="66" spans="1:5" ht="27" customHeight="1" x14ac:dyDescent="0.25">
      <c r="A66" s="6"/>
      <c r="C66" s="6"/>
      <c r="D66" s="6"/>
      <c r="E66" s="6"/>
    </row>
    <row r="67" spans="1:5" ht="27" customHeight="1" x14ac:dyDescent="0.25">
      <c r="A67" s="6"/>
      <c r="C67" s="6"/>
      <c r="D67" s="6"/>
      <c r="E67" s="6"/>
    </row>
    <row r="68" spans="1:5" ht="27" customHeight="1" x14ac:dyDescent="0.25">
      <c r="A68" s="6"/>
      <c r="C68" s="6"/>
      <c r="D68" s="6"/>
      <c r="E68" s="6"/>
    </row>
    <row r="69" spans="1:5" ht="27" customHeight="1" x14ac:dyDescent="0.25">
      <c r="A69" s="6"/>
      <c r="C69" s="6"/>
      <c r="D69" s="6"/>
      <c r="E69" s="6"/>
    </row>
    <row r="70" spans="1:5" ht="27" customHeight="1" x14ac:dyDescent="0.25">
      <c r="A70" s="6"/>
      <c r="C70" s="6"/>
      <c r="D70" s="6"/>
      <c r="E70" s="6"/>
    </row>
    <row r="71" spans="1:5" ht="27" customHeight="1" x14ac:dyDescent="0.25">
      <c r="A71" s="6"/>
      <c r="C71" s="6"/>
      <c r="D71" s="6"/>
      <c r="E71" s="6"/>
    </row>
    <row r="72" spans="1:5" ht="27" customHeight="1" x14ac:dyDescent="0.25">
      <c r="A72" s="6"/>
      <c r="C72" s="6"/>
      <c r="D72" s="6"/>
      <c r="E72" s="6"/>
    </row>
    <row r="73" spans="1:5" ht="27" customHeight="1" x14ac:dyDescent="0.25">
      <c r="A73" s="6"/>
      <c r="C73" s="6"/>
      <c r="D73" s="6"/>
      <c r="E73" s="6"/>
    </row>
    <row r="74" spans="1:5" ht="27" customHeight="1" x14ac:dyDescent="0.25">
      <c r="A74" s="6"/>
      <c r="C74" s="6"/>
      <c r="D74" s="6"/>
      <c r="E74" s="6"/>
    </row>
    <row r="75" spans="1:5" ht="27" customHeight="1" x14ac:dyDescent="0.25">
      <c r="A75" s="6"/>
      <c r="C75" s="6"/>
      <c r="D75" s="6"/>
      <c r="E75" s="6"/>
    </row>
    <row r="76" spans="1:5" ht="27" customHeight="1" x14ac:dyDescent="0.25">
      <c r="A76" s="6"/>
      <c r="C76" s="6"/>
      <c r="D76" s="6"/>
      <c r="E76" s="6"/>
    </row>
    <row r="77" spans="1:5" ht="27" customHeight="1" x14ac:dyDescent="0.25">
      <c r="A77" s="6"/>
      <c r="C77" s="6"/>
      <c r="D77" s="6"/>
      <c r="E77" s="6"/>
    </row>
    <row r="78" spans="1:5" ht="27" customHeight="1" x14ac:dyDescent="0.25">
      <c r="A78" s="6"/>
      <c r="C78" s="6"/>
      <c r="D78" s="6"/>
      <c r="E78" s="6"/>
    </row>
    <row r="79" spans="1:5" ht="27" customHeight="1" x14ac:dyDescent="0.25">
      <c r="A79" s="6"/>
      <c r="C79" s="6"/>
      <c r="D79" s="6"/>
      <c r="E79" s="6"/>
    </row>
    <row r="80" spans="1:5" ht="27" customHeight="1" x14ac:dyDescent="0.25">
      <c r="A80" s="6"/>
      <c r="C80" s="6"/>
      <c r="D80" s="6"/>
      <c r="E80" s="6"/>
    </row>
    <row r="81" spans="1:5" ht="27" customHeight="1" x14ac:dyDescent="0.25">
      <c r="A81" s="6"/>
      <c r="C81" s="6"/>
      <c r="D81" s="6"/>
      <c r="E81" s="6"/>
    </row>
    <row r="82" spans="1:5" ht="27" customHeight="1" x14ac:dyDescent="0.25">
      <c r="A82" s="6"/>
      <c r="C82" s="6"/>
      <c r="D82" s="6"/>
      <c r="E82" s="6"/>
    </row>
    <row r="83" spans="1:5" ht="27" customHeight="1" x14ac:dyDescent="0.25">
      <c r="A83" s="6"/>
      <c r="C83" s="6"/>
      <c r="D83" s="6"/>
      <c r="E83" s="6"/>
    </row>
    <row r="84" spans="1:5" ht="27" customHeight="1" x14ac:dyDescent="0.25">
      <c r="A84" s="6"/>
      <c r="C84" s="6"/>
      <c r="D84" s="6"/>
      <c r="E84" s="6"/>
    </row>
    <row r="85" spans="1:5" ht="27" customHeight="1" x14ac:dyDescent="0.25">
      <c r="A85" s="6"/>
      <c r="C85" s="6"/>
      <c r="D85" s="6"/>
      <c r="E85" s="6"/>
    </row>
    <row r="86" spans="1:5" ht="27" customHeight="1" x14ac:dyDescent="0.25">
      <c r="A86" s="6"/>
      <c r="C86" s="6"/>
      <c r="D86" s="6"/>
      <c r="E86" s="6"/>
    </row>
    <row r="87" spans="1:5" ht="27" customHeight="1" x14ac:dyDescent="0.25">
      <c r="A87" s="6"/>
      <c r="C87" s="6"/>
      <c r="D87" s="6"/>
      <c r="E87" s="6"/>
    </row>
    <row r="88" spans="1:5" ht="27" customHeight="1" x14ac:dyDescent="0.25">
      <c r="A88" s="6"/>
      <c r="C88" s="6"/>
      <c r="D88" s="6"/>
      <c r="E88" s="6"/>
    </row>
    <row r="89" spans="1:5" ht="27" customHeight="1" x14ac:dyDescent="0.25">
      <c r="A89" s="6"/>
      <c r="C89" s="6"/>
      <c r="D89" s="6"/>
      <c r="E89" s="6"/>
    </row>
    <row r="90" spans="1:5" ht="27" customHeight="1" x14ac:dyDescent="0.25">
      <c r="A90" s="6"/>
      <c r="C90" s="6"/>
      <c r="D90" s="6"/>
      <c r="E90" s="6"/>
    </row>
    <row r="91" spans="1:5" ht="27" customHeight="1" x14ac:dyDescent="0.25">
      <c r="A91" s="6"/>
      <c r="C91" s="6"/>
      <c r="D91" s="6"/>
      <c r="E91" s="6"/>
    </row>
    <row r="92" spans="1:5" ht="27" customHeight="1" x14ac:dyDescent="0.25">
      <c r="A92" s="6"/>
      <c r="C92" s="6"/>
      <c r="D92" s="6"/>
      <c r="E92" s="6"/>
    </row>
    <row r="93" spans="1:5" ht="27" customHeight="1" x14ac:dyDescent="0.25">
      <c r="A93" s="6"/>
      <c r="C93" s="6"/>
      <c r="D93" s="6"/>
      <c r="E93" s="6"/>
    </row>
    <row r="94" spans="1:5" ht="27" customHeight="1" x14ac:dyDescent="0.25">
      <c r="A94" s="6"/>
      <c r="C94" s="6"/>
      <c r="D94" s="6"/>
      <c r="E94" s="6"/>
    </row>
    <row r="95" spans="1:5" ht="27" customHeight="1" x14ac:dyDescent="0.25">
      <c r="A95" s="6"/>
      <c r="C95" s="6"/>
      <c r="D95" s="6"/>
      <c r="E95" s="6"/>
    </row>
    <row r="96" spans="1:5" ht="27" customHeight="1" x14ac:dyDescent="0.25">
      <c r="A96" s="6"/>
      <c r="C96" s="6"/>
      <c r="D96" s="6"/>
      <c r="E96" s="6"/>
    </row>
    <row r="97" spans="1:5" ht="27" customHeight="1" x14ac:dyDescent="0.25">
      <c r="A97" s="6"/>
      <c r="C97" s="6"/>
      <c r="D97" s="6"/>
      <c r="E97" s="6"/>
    </row>
    <row r="98" spans="1:5" ht="27" customHeight="1" x14ac:dyDescent="0.25">
      <c r="A98" s="6"/>
      <c r="C98" s="6"/>
      <c r="D98" s="6"/>
      <c r="E98" s="6"/>
    </row>
    <row r="99" spans="1:5" ht="27" customHeight="1" x14ac:dyDescent="0.25">
      <c r="A99" s="6"/>
      <c r="C99" s="6"/>
      <c r="D99" s="6"/>
      <c r="E99" s="6"/>
    </row>
    <row r="100" spans="1:5" ht="27" customHeight="1" x14ac:dyDescent="0.25">
      <c r="A100" s="6"/>
      <c r="C100" s="6"/>
      <c r="D100" s="6"/>
      <c r="E100" s="6"/>
    </row>
    <row r="101" spans="1:5" ht="27" customHeight="1" x14ac:dyDescent="0.25">
      <c r="A101" s="6"/>
      <c r="C101" s="6"/>
      <c r="D101" s="6"/>
      <c r="E101" s="6"/>
    </row>
    <row r="102" spans="1:5" ht="27" customHeight="1" x14ac:dyDescent="0.25">
      <c r="A102" s="6"/>
      <c r="C102" s="6"/>
      <c r="D102" s="6"/>
      <c r="E102" s="6"/>
    </row>
    <row r="103" spans="1:5" ht="27" customHeight="1" x14ac:dyDescent="0.25">
      <c r="A103" s="6"/>
      <c r="C103" s="6"/>
      <c r="D103" s="6"/>
      <c r="E103" s="6"/>
    </row>
    <row r="104" spans="1:5" ht="27" customHeight="1" x14ac:dyDescent="0.25">
      <c r="A104" s="6"/>
      <c r="C104" s="6"/>
      <c r="D104" s="6"/>
      <c r="E104" s="6"/>
    </row>
    <row r="105" spans="1:5" ht="27" customHeight="1" x14ac:dyDescent="0.25">
      <c r="A105" s="6"/>
      <c r="C105" s="6"/>
      <c r="D105" s="6"/>
      <c r="E105" s="6"/>
    </row>
    <row r="106" spans="1:5" ht="27" customHeight="1" x14ac:dyDescent="0.25">
      <c r="A106" s="6"/>
      <c r="C106" s="6"/>
      <c r="D106" s="6"/>
      <c r="E106" s="6"/>
    </row>
    <row r="107" spans="1:5" ht="27" customHeight="1" x14ac:dyDescent="0.25">
      <c r="A107" s="6"/>
      <c r="C107" s="6"/>
      <c r="D107" s="6"/>
      <c r="E107" s="6"/>
    </row>
    <row r="108" spans="1:5" ht="27" customHeight="1" x14ac:dyDescent="0.25">
      <c r="A108" s="6"/>
      <c r="C108" s="6"/>
      <c r="D108" s="6"/>
      <c r="E108" s="6"/>
    </row>
    <row r="109" spans="1:5" ht="27" customHeight="1" x14ac:dyDescent="0.25">
      <c r="A109" s="6"/>
      <c r="C109" s="6"/>
      <c r="D109" s="6"/>
      <c r="E109" s="6"/>
    </row>
    <row r="110" spans="1:5" ht="27" customHeight="1" x14ac:dyDescent="0.25">
      <c r="A110" s="6"/>
      <c r="C110" s="6"/>
      <c r="D110" s="6"/>
      <c r="E110" s="6"/>
    </row>
    <row r="111" spans="1:5" ht="27" customHeight="1" x14ac:dyDescent="0.25">
      <c r="A111" s="6"/>
      <c r="C111" s="6"/>
      <c r="D111" s="6"/>
      <c r="E111" s="6"/>
    </row>
    <row r="112" spans="1:5" ht="27" customHeight="1" x14ac:dyDescent="0.25">
      <c r="A112" s="6"/>
      <c r="C112" s="6"/>
      <c r="D112" s="6"/>
      <c r="E112" s="6"/>
    </row>
    <row r="113" spans="1:5" ht="27" customHeight="1" x14ac:dyDescent="0.25">
      <c r="A113" s="6"/>
      <c r="C113" s="6"/>
      <c r="D113" s="6"/>
      <c r="E113" s="6"/>
    </row>
    <row r="114" spans="1:5" ht="27" customHeight="1" x14ac:dyDescent="0.25">
      <c r="A114" s="6"/>
      <c r="C114" s="6"/>
      <c r="D114" s="6"/>
      <c r="E114" s="6"/>
    </row>
    <row r="115" spans="1:5" ht="27" customHeight="1" x14ac:dyDescent="0.25">
      <c r="A115" s="6"/>
      <c r="C115" s="6"/>
      <c r="D115" s="6"/>
      <c r="E115" s="6"/>
    </row>
    <row r="116" spans="1:5" ht="27" customHeight="1" x14ac:dyDescent="0.25">
      <c r="A116" s="6"/>
      <c r="C116" s="6"/>
      <c r="D116" s="6"/>
      <c r="E116" s="6"/>
    </row>
    <row r="117" spans="1:5" ht="27" customHeight="1" x14ac:dyDescent="0.25">
      <c r="A117" s="6"/>
      <c r="C117" s="6"/>
      <c r="D117" s="6"/>
      <c r="E117" s="6"/>
    </row>
    <row r="118" spans="1:5" ht="27" customHeight="1" x14ac:dyDescent="0.25">
      <c r="A118" s="6"/>
      <c r="C118" s="6"/>
      <c r="D118" s="6"/>
      <c r="E118" s="6"/>
    </row>
    <row r="119" spans="1:5" ht="27" customHeight="1" x14ac:dyDescent="0.25">
      <c r="A119" s="6"/>
      <c r="C119" s="6"/>
      <c r="D119" s="6"/>
      <c r="E119" s="6"/>
    </row>
    <row r="120" spans="1:5" ht="27" customHeight="1" x14ac:dyDescent="0.25">
      <c r="A120" s="6"/>
      <c r="C120" s="6"/>
      <c r="D120" s="6"/>
      <c r="E120" s="6"/>
    </row>
    <row r="121" spans="1:5" ht="27" customHeight="1" x14ac:dyDescent="0.25">
      <c r="A121" s="6"/>
      <c r="C121" s="6"/>
      <c r="D121" s="6"/>
      <c r="E121" s="6"/>
    </row>
    <row r="122" spans="1:5" ht="27" customHeight="1" x14ac:dyDescent="0.25">
      <c r="A122" s="6"/>
      <c r="C122" s="6"/>
      <c r="D122" s="6"/>
      <c r="E122" s="6"/>
    </row>
    <row r="123" spans="1:5" ht="27" customHeight="1" x14ac:dyDescent="0.25">
      <c r="A123" s="6"/>
      <c r="C123" s="6"/>
      <c r="D123" s="6"/>
      <c r="E123" s="6"/>
    </row>
    <row r="124" spans="1:5" ht="27" customHeight="1" x14ac:dyDescent="0.25">
      <c r="A124" s="6"/>
      <c r="C124" s="6"/>
      <c r="D124" s="6"/>
      <c r="E124" s="6"/>
    </row>
    <row r="125" spans="1:5" ht="27" customHeight="1" x14ac:dyDescent="0.25">
      <c r="A125" s="6"/>
      <c r="C125" s="6"/>
      <c r="D125" s="6"/>
      <c r="E125" s="6"/>
    </row>
    <row r="126" spans="1:5" ht="27" customHeight="1" x14ac:dyDescent="0.25">
      <c r="A126" s="6"/>
      <c r="C126" s="6"/>
      <c r="D126" s="6"/>
      <c r="E126" s="6"/>
    </row>
    <row r="127" spans="1:5" ht="27" customHeight="1" x14ac:dyDescent="0.25">
      <c r="A127" s="6"/>
      <c r="C127" s="6"/>
      <c r="D127" s="6"/>
      <c r="E127" s="6"/>
    </row>
    <row r="128" spans="1:5" ht="27" customHeight="1" x14ac:dyDescent="0.25">
      <c r="A128" s="6"/>
      <c r="C128" s="6"/>
      <c r="D128" s="6"/>
      <c r="E128" s="6"/>
    </row>
    <row r="129" spans="1:5" ht="27" customHeight="1" x14ac:dyDescent="0.25">
      <c r="A129" s="6"/>
      <c r="C129" s="6"/>
      <c r="D129" s="6"/>
      <c r="E129" s="6"/>
    </row>
    <row r="130" spans="1:5" ht="27" customHeight="1" x14ac:dyDescent="0.25">
      <c r="A130" s="6"/>
      <c r="C130" s="6"/>
      <c r="D130" s="6"/>
      <c r="E130" s="6"/>
    </row>
    <row r="131" spans="1:5" ht="27" customHeight="1" x14ac:dyDescent="0.25">
      <c r="A131" s="6"/>
      <c r="C131" s="6"/>
      <c r="D131" s="6"/>
      <c r="E131" s="6"/>
    </row>
    <row r="132" spans="1:5" ht="27" customHeight="1" x14ac:dyDescent="0.25">
      <c r="A132" s="6"/>
      <c r="C132" s="6"/>
      <c r="D132" s="6"/>
      <c r="E132" s="6"/>
    </row>
    <row r="133" spans="1:5" ht="27" customHeight="1" x14ac:dyDescent="0.25">
      <c r="A133" s="6"/>
      <c r="C133" s="6"/>
      <c r="D133" s="6"/>
      <c r="E133" s="6"/>
    </row>
    <row r="134" spans="1:5" ht="27" customHeight="1" x14ac:dyDescent="0.25">
      <c r="A134" s="6"/>
      <c r="C134" s="6"/>
      <c r="D134" s="6"/>
      <c r="E134" s="6"/>
    </row>
    <row r="135" spans="1:5" ht="27" customHeight="1" x14ac:dyDescent="0.25">
      <c r="A135" s="6"/>
      <c r="C135" s="6"/>
      <c r="D135" s="6"/>
      <c r="E135" s="6"/>
    </row>
    <row r="136" spans="1:5" ht="27" customHeight="1" x14ac:dyDescent="0.25">
      <c r="A136" s="6"/>
      <c r="C136" s="6"/>
      <c r="D136" s="6"/>
      <c r="E136" s="6"/>
    </row>
    <row r="137" spans="1:5" ht="27" customHeight="1" x14ac:dyDescent="0.25">
      <c r="A137" s="6"/>
      <c r="C137" s="6"/>
      <c r="D137" s="6"/>
      <c r="E137" s="6"/>
    </row>
    <row r="138" spans="1:5" ht="27" customHeight="1" x14ac:dyDescent="0.25">
      <c r="A138" s="6"/>
      <c r="C138" s="6"/>
      <c r="D138" s="6"/>
      <c r="E138" s="6"/>
    </row>
    <row r="139" spans="1:5" ht="27" customHeight="1" x14ac:dyDescent="0.25">
      <c r="A139" s="6"/>
      <c r="C139" s="6"/>
      <c r="D139" s="6"/>
      <c r="E139" s="6"/>
    </row>
    <row r="140" spans="1:5" ht="27" customHeight="1" x14ac:dyDescent="0.25">
      <c r="A140" s="6"/>
      <c r="C140" s="6"/>
      <c r="D140" s="6"/>
      <c r="E140" s="6"/>
    </row>
    <row r="141" spans="1:5" ht="27" customHeight="1" x14ac:dyDescent="0.25">
      <c r="A141" s="6"/>
      <c r="C141" s="6"/>
      <c r="D141" s="6"/>
      <c r="E141" s="6"/>
    </row>
    <row r="142" spans="1:5" ht="27" customHeight="1" x14ac:dyDescent="0.25">
      <c r="A142" s="6"/>
      <c r="C142" s="6"/>
      <c r="D142" s="6"/>
      <c r="E142" s="6"/>
    </row>
    <row r="143" spans="1:5" ht="27" customHeight="1" x14ac:dyDescent="0.25">
      <c r="A143" s="6"/>
      <c r="C143" s="6"/>
      <c r="D143" s="6"/>
      <c r="E143" s="6"/>
    </row>
    <row r="144" spans="1:5" ht="27" customHeight="1" x14ac:dyDescent="0.25">
      <c r="A144" s="6"/>
      <c r="C144" s="6"/>
      <c r="D144" s="6"/>
      <c r="E144" s="6"/>
    </row>
    <row r="145" spans="1:5" ht="27" customHeight="1" x14ac:dyDescent="0.25">
      <c r="A145" s="6"/>
      <c r="C145" s="6"/>
      <c r="D145" s="6"/>
      <c r="E145" s="6"/>
    </row>
    <row r="146" spans="1:5" ht="27" customHeight="1" x14ac:dyDescent="0.25">
      <c r="A146" s="6"/>
      <c r="C146" s="6"/>
      <c r="D146" s="6"/>
      <c r="E146" s="6"/>
    </row>
    <row r="147" spans="1:5" ht="27" customHeight="1" x14ac:dyDescent="0.25">
      <c r="A147" s="6"/>
      <c r="C147" s="6"/>
      <c r="D147" s="6"/>
      <c r="E147" s="6"/>
    </row>
    <row r="148" spans="1:5" ht="27" customHeight="1" x14ac:dyDescent="0.25">
      <c r="A148" s="6"/>
      <c r="C148" s="6"/>
      <c r="D148" s="6"/>
      <c r="E148" s="6"/>
    </row>
    <row r="149" spans="1:5" ht="27" customHeight="1" x14ac:dyDescent="0.25">
      <c r="A149" s="6"/>
      <c r="C149" s="6"/>
      <c r="D149" s="6"/>
      <c r="E149" s="6"/>
    </row>
    <row r="150" spans="1:5" ht="27" customHeight="1" x14ac:dyDescent="0.25">
      <c r="A150" s="6"/>
      <c r="C150" s="6"/>
      <c r="D150" s="6"/>
      <c r="E150" s="6"/>
    </row>
    <row r="151" spans="1:5" ht="27" customHeight="1" x14ac:dyDescent="0.25">
      <c r="A151" s="6"/>
      <c r="C151" s="6"/>
      <c r="D151" s="6"/>
      <c r="E151" s="6"/>
    </row>
    <row r="152" spans="1:5" ht="27" customHeight="1" x14ac:dyDescent="0.25">
      <c r="A152" s="6"/>
      <c r="C152" s="6"/>
      <c r="D152" s="6"/>
      <c r="E152" s="6"/>
    </row>
    <row r="153" spans="1:5" ht="27" customHeight="1" x14ac:dyDescent="0.25">
      <c r="A153" s="6"/>
      <c r="C153" s="6"/>
      <c r="D153" s="6"/>
      <c r="E153" s="6"/>
    </row>
    <row r="154" spans="1:5" ht="27" customHeight="1" x14ac:dyDescent="0.25">
      <c r="A154" s="6"/>
      <c r="C154" s="6"/>
      <c r="D154" s="6"/>
      <c r="E154" s="6"/>
    </row>
    <row r="155" spans="1:5" ht="27" customHeight="1" x14ac:dyDescent="0.25">
      <c r="A155" s="6"/>
      <c r="C155" s="6"/>
      <c r="D155" s="6"/>
      <c r="E155" s="6"/>
    </row>
    <row r="156" spans="1:5" ht="27" customHeight="1" x14ac:dyDescent="0.25">
      <c r="A156" s="6"/>
      <c r="C156" s="6"/>
      <c r="D156" s="6"/>
      <c r="E156" s="6"/>
    </row>
    <row r="157" spans="1:5" ht="27" customHeight="1" x14ac:dyDescent="0.25">
      <c r="A157" s="6"/>
      <c r="C157" s="6"/>
      <c r="D157" s="6"/>
      <c r="E157" s="6"/>
    </row>
    <row r="158" spans="1:5" ht="27" customHeight="1" x14ac:dyDescent="0.25">
      <c r="A158" s="6"/>
      <c r="C158" s="6"/>
      <c r="D158" s="6"/>
      <c r="E158" s="6"/>
    </row>
    <row r="159" spans="1:5" ht="27" customHeight="1" x14ac:dyDescent="0.25">
      <c r="A159" s="6"/>
      <c r="C159" s="6"/>
      <c r="D159" s="6"/>
      <c r="E159" s="6"/>
    </row>
    <row r="160" spans="1:5" ht="27" customHeight="1" x14ac:dyDescent="0.25">
      <c r="A160" s="6"/>
      <c r="C160" s="6"/>
      <c r="D160" s="6"/>
      <c r="E160" s="6"/>
    </row>
    <row r="161" spans="1:5" ht="27" customHeight="1" x14ac:dyDescent="0.25">
      <c r="A161" s="6"/>
      <c r="C161" s="6"/>
      <c r="D161" s="6"/>
      <c r="E161" s="6"/>
    </row>
    <row r="162" spans="1:5" ht="27" customHeight="1" x14ac:dyDescent="0.25">
      <c r="A162" s="6"/>
      <c r="C162" s="6"/>
      <c r="D162" s="6"/>
      <c r="E162" s="6"/>
    </row>
    <row r="163" spans="1:5" ht="27" customHeight="1" x14ac:dyDescent="0.25">
      <c r="A163" s="6"/>
      <c r="C163" s="6"/>
      <c r="D163" s="6"/>
      <c r="E163" s="6"/>
    </row>
    <row r="164" spans="1:5" ht="27" customHeight="1" x14ac:dyDescent="0.25">
      <c r="A164" s="6"/>
      <c r="C164" s="6"/>
      <c r="D164" s="6"/>
      <c r="E164" s="6"/>
    </row>
    <row r="165" spans="1:5" ht="27" customHeight="1" x14ac:dyDescent="0.25">
      <c r="A165" s="6"/>
      <c r="C165" s="6"/>
      <c r="D165" s="6"/>
      <c r="E165" s="6"/>
    </row>
    <row r="166" spans="1:5" ht="27" customHeight="1" x14ac:dyDescent="0.25">
      <c r="A166" s="6"/>
      <c r="C166" s="6"/>
      <c r="D166" s="6"/>
      <c r="E166" s="6"/>
    </row>
    <row r="167" spans="1:5" ht="27" customHeight="1" x14ac:dyDescent="0.25">
      <c r="A167" s="6"/>
      <c r="C167" s="6"/>
      <c r="D167" s="6"/>
      <c r="E167" s="6"/>
    </row>
    <row r="168" spans="1:5" ht="27" customHeight="1" x14ac:dyDescent="0.25">
      <c r="A168" s="6"/>
      <c r="C168" s="6"/>
      <c r="D168" s="6"/>
      <c r="E168" s="6"/>
    </row>
    <row r="169" spans="1:5" ht="27" customHeight="1" x14ac:dyDescent="0.25">
      <c r="A169" s="6"/>
      <c r="C169" s="6"/>
      <c r="D169" s="6"/>
      <c r="E169" s="6"/>
    </row>
    <row r="170" spans="1:5" ht="27" customHeight="1" x14ac:dyDescent="0.25">
      <c r="A170" s="6"/>
      <c r="C170" s="6"/>
      <c r="D170" s="6"/>
      <c r="E170" s="6"/>
    </row>
    <row r="171" spans="1:5" ht="27" customHeight="1" x14ac:dyDescent="0.25">
      <c r="A171" s="6"/>
      <c r="C171" s="6"/>
      <c r="D171" s="6"/>
      <c r="E171" s="6"/>
    </row>
    <row r="172" spans="1:5" ht="27" customHeight="1" x14ac:dyDescent="0.25">
      <c r="A172" s="6"/>
      <c r="C172" s="6"/>
      <c r="D172" s="6"/>
      <c r="E172" s="6"/>
    </row>
    <row r="173" spans="1:5" ht="27" customHeight="1" x14ac:dyDescent="0.25">
      <c r="A173" s="6"/>
      <c r="C173" s="6"/>
      <c r="D173" s="6"/>
      <c r="E173" s="6"/>
    </row>
    <row r="174" spans="1:5" ht="27" customHeight="1" x14ac:dyDescent="0.25">
      <c r="A174" s="6"/>
      <c r="C174" s="6"/>
      <c r="D174" s="6"/>
      <c r="E174" s="6"/>
    </row>
    <row r="175" spans="1:5" ht="27" customHeight="1" x14ac:dyDescent="0.25">
      <c r="A175" s="6"/>
      <c r="C175" s="6"/>
      <c r="D175" s="6"/>
      <c r="E175" s="6"/>
    </row>
    <row r="176" spans="1:5" ht="27" customHeight="1" x14ac:dyDescent="0.25">
      <c r="A176" s="6"/>
      <c r="C176" s="6"/>
      <c r="D176" s="6"/>
      <c r="E176" s="6"/>
    </row>
    <row r="177" spans="1:5" ht="27" customHeight="1" x14ac:dyDescent="0.25">
      <c r="A177" s="6"/>
      <c r="C177" s="6"/>
      <c r="D177" s="6"/>
      <c r="E177" s="6"/>
    </row>
    <row r="178" spans="1:5" ht="27" customHeight="1" x14ac:dyDescent="0.25">
      <c r="A178" s="6"/>
      <c r="C178" s="6"/>
      <c r="D178" s="6"/>
      <c r="E178" s="6"/>
    </row>
    <row r="179" spans="1:5" ht="27" customHeight="1" x14ac:dyDescent="0.25">
      <c r="A179" s="6"/>
      <c r="C179" s="6"/>
      <c r="D179" s="6"/>
      <c r="E179" s="6"/>
    </row>
    <row r="180" spans="1:5" ht="27" customHeight="1" x14ac:dyDescent="0.25">
      <c r="A180" s="6"/>
      <c r="C180" s="6"/>
      <c r="D180" s="6"/>
      <c r="E180" s="6"/>
    </row>
    <row r="181" spans="1:5" ht="27" customHeight="1" x14ac:dyDescent="0.25">
      <c r="A181" s="6"/>
      <c r="C181" s="6"/>
      <c r="D181" s="6"/>
      <c r="E181" s="6"/>
    </row>
    <row r="182" spans="1:5" ht="27" customHeight="1" x14ac:dyDescent="0.25">
      <c r="A182" s="6"/>
      <c r="C182" s="6"/>
      <c r="D182" s="6"/>
      <c r="E182" s="6"/>
    </row>
    <row r="183" spans="1:5" ht="27" customHeight="1" x14ac:dyDescent="0.25">
      <c r="A183" s="6"/>
      <c r="C183" s="6"/>
      <c r="D183" s="6"/>
      <c r="E183" s="6"/>
    </row>
    <row r="184" spans="1:5" ht="27" customHeight="1" x14ac:dyDescent="0.25">
      <c r="A184" s="6"/>
      <c r="C184" s="6"/>
      <c r="D184" s="6"/>
      <c r="E184" s="6"/>
    </row>
    <row r="185" spans="1:5" ht="27" customHeight="1" x14ac:dyDescent="0.25">
      <c r="A185" s="6"/>
      <c r="C185" s="6"/>
      <c r="D185" s="6"/>
      <c r="E185" s="6"/>
    </row>
    <row r="186" spans="1:5" ht="27" customHeight="1" x14ac:dyDescent="0.25">
      <c r="A186" s="6"/>
      <c r="C186" s="6"/>
      <c r="D186" s="6"/>
      <c r="E186" s="6"/>
    </row>
    <row r="187" spans="1:5" ht="27" customHeight="1" x14ac:dyDescent="0.25">
      <c r="A187" s="6"/>
      <c r="C187" s="6"/>
      <c r="D187" s="6"/>
      <c r="E187" s="6"/>
    </row>
    <row r="188" spans="1:5" ht="27" customHeight="1" x14ac:dyDescent="0.25">
      <c r="A188" s="6"/>
      <c r="C188" s="6"/>
      <c r="D188" s="6"/>
      <c r="E188" s="6"/>
    </row>
    <row r="189" spans="1:5" ht="27" customHeight="1" x14ac:dyDescent="0.25">
      <c r="A189" s="6"/>
      <c r="C189" s="6"/>
      <c r="D189" s="6"/>
      <c r="E189" s="6"/>
    </row>
    <row r="190" spans="1:5" ht="27" customHeight="1" x14ac:dyDescent="0.25">
      <c r="A190" s="6"/>
      <c r="C190" s="6"/>
      <c r="D190" s="6"/>
      <c r="E190" s="6"/>
    </row>
    <row r="191" spans="1:5" ht="27" customHeight="1" x14ac:dyDescent="0.25">
      <c r="A191" s="6"/>
      <c r="C191" s="6"/>
      <c r="D191" s="6"/>
      <c r="E191" s="6"/>
    </row>
    <row r="192" spans="1:5" ht="27" customHeight="1" x14ac:dyDescent="0.25">
      <c r="A192" s="6"/>
      <c r="C192" s="6"/>
      <c r="D192" s="6"/>
      <c r="E192" s="6"/>
    </row>
    <row r="193" spans="1:5" ht="27" customHeight="1" x14ac:dyDescent="0.25">
      <c r="A193" s="6"/>
      <c r="C193" s="6"/>
      <c r="D193" s="6"/>
      <c r="E193" s="6"/>
    </row>
    <row r="194" spans="1:5" ht="27" customHeight="1" x14ac:dyDescent="0.25">
      <c r="A194" s="6"/>
      <c r="C194" s="6"/>
      <c r="D194" s="6"/>
      <c r="E194" s="6"/>
    </row>
    <row r="195" spans="1:5" ht="27" customHeight="1" x14ac:dyDescent="0.25">
      <c r="A195" s="6"/>
      <c r="C195" s="6"/>
      <c r="D195" s="6"/>
      <c r="E195" s="6"/>
    </row>
    <row r="196" spans="1:5" ht="27" customHeight="1" x14ac:dyDescent="0.25">
      <c r="A196" s="6"/>
      <c r="C196" s="6"/>
      <c r="D196" s="6"/>
      <c r="E196" s="6"/>
    </row>
    <row r="197" spans="1:5" ht="27" customHeight="1" x14ac:dyDescent="0.25">
      <c r="A197" s="6"/>
      <c r="C197" s="6"/>
      <c r="D197" s="6"/>
      <c r="E197" s="6"/>
    </row>
    <row r="198" spans="1:5" ht="27" customHeight="1" x14ac:dyDescent="0.25">
      <c r="A198" s="6"/>
      <c r="C198" s="6"/>
      <c r="D198" s="6"/>
      <c r="E198" s="6"/>
    </row>
    <row r="199" spans="1:5" ht="27" customHeight="1" x14ac:dyDescent="0.25">
      <c r="A199" s="6"/>
      <c r="C199" s="6"/>
      <c r="D199" s="6"/>
      <c r="E199" s="6"/>
    </row>
    <row r="200" spans="1:5" ht="27" customHeight="1" x14ac:dyDescent="0.25">
      <c r="A200" s="6"/>
      <c r="C200" s="6"/>
      <c r="D200" s="6"/>
      <c r="E200" s="6"/>
    </row>
    <row r="201" spans="1:5" ht="27" customHeight="1" x14ac:dyDescent="0.25">
      <c r="A201" s="6"/>
      <c r="C201" s="6"/>
      <c r="D201" s="6"/>
      <c r="E201" s="6"/>
    </row>
    <row r="202" spans="1:5" ht="27" customHeight="1" x14ac:dyDescent="0.25">
      <c r="A202" s="6"/>
      <c r="C202" s="6"/>
      <c r="D202" s="6"/>
      <c r="E202" s="6"/>
    </row>
    <row r="203" spans="1:5" ht="27" customHeight="1" x14ac:dyDescent="0.25">
      <c r="A203" s="6"/>
      <c r="C203" s="6"/>
      <c r="D203" s="6"/>
      <c r="E203" s="6"/>
    </row>
    <row r="204" spans="1:5" ht="27" customHeight="1" x14ac:dyDescent="0.25">
      <c r="A204" s="6"/>
      <c r="C204" s="6"/>
      <c r="D204" s="6"/>
      <c r="E204" s="6"/>
    </row>
    <row r="205" spans="1:5" ht="27" customHeight="1" x14ac:dyDescent="0.25">
      <c r="A205" s="6"/>
      <c r="C205" s="6"/>
      <c r="D205" s="6"/>
      <c r="E205" s="6"/>
    </row>
    <row r="206" spans="1:5" ht="27" customHeight="1" x14ac:dyDescent="0.25">
      <c r="A206" s="6"/>
      <c r="C206" s="6"/>
      <c r="D206" s="6"/>
      <c r="E206" s="6"/>
    </row>
    <row r="207" spans="1:5" ht="27" customHeight="1" x14ac:dyDescent="0.25">
      <c r="A207" s="6"/>
      <c r="C207" s="6"/>
      <c r="D207" s="6"/>
      <c r="E207" s="6"/>
    </row>
    <row r="208" spans="1:5" ht="27" customHeight="1" x14ac:dyDescent="0.25">
      <c r="A208" s="6"/>
      <c r="C208" s="6"/>
      <c r="D208" s="6"/>
      <c r="E208" s="6"/>
    </row>
    <row r="209" spans="1:5" ht="27" customHeight="1" x14ac:dyDescent="0.25">
      <c r="A209" s="6"/>
      <c r="C209" s="6"/>
      <c r="D209" s="6"/>
      <c r="E209" s="6"/>
    </row>
    <row r="210" spans="1:5" ht="27" customHeight="1" x14ac:dyDescent="0.25">
      <c r="A210" s="6"/>
      <c r="C210" s="6"/>
      <c r="D210" s="6"/>
      <c r="E210" s="6"/>
    </row>
    <row r="211" spans="1:5" ht="27" customHeight="1" x14ac:dyDescent="0.25">
      <c r="A211" s="6"/>
      <c r="C211" s="6"/>
      <c r="D211" s="6"/>
      <c r="E211" s="6"/>
    </row>
    <row r="212" spans="1:5" ht="27" customHeight="1" x14ac:dyDescent="0.25">
      <c r="A212" s="6"/>
      <c r="C212" s="6"/>
      <c r="D212" s="6"/>
      <c r="E212" s="6"/>
    </row>
    <row r="213" spans="1:5" ht="27" customHeight="1" x14ac:dyDescent="0.25">
      <c r="A213" s="6"/>
      <c r="C213" s="6"/>
      <c r="D213" s="6"/>
      <c r="E213" s="6"/>
    </row>
    <row r="214" spans="1:5" ht="27" customHeight="1" x14ac:dyDescent="0.25">
      <c r="A214" s="6"/>
      <c r="C214" s="6"/>
      <c r="D214" s="6"/>
      <c r="E214" s="6"/>
    </row>
    <row r="215" spans="1:5" ht="27" customHeight="1" x14ac:dyDescent="0.25">
      <c r="A215" s="6"/>
      <c r="C215" s="6"/>
      <c r="D215" s="6"/>
      <c r="E215" s="6"/>
    </row>
    <row r="216" spans="1:5" ht="27" customHeight="1" x14ac:dyDescent="0.25">
      <c r="A216" s="6"/>
      <c r="C216" s="6"/>
      <c r="D216" s="6"/>
      <c r="E216" s="6"/>
    </row>
    <row r="217" spans="1:5" ht="27" customHeight="1" x14ac:dyDescent="0.25">
      <c r="A217" s="6"/>
      <c r="C217" s="6"/>
      <c r="D217" s="6"/>
      <c r="E217" s="6"/>
    </row>
    <row r="218" spans="1:5" ht="27" customHeight="1" x14ac:dyDescent="0.25">
      <c r="A218" s="6"/>
      <c r="C218" s="6"/>
      <c r="D218" s="6"/>
      <c r="E218" s="6"/>
    </row>
    <row r="219" spans="1:5" ht="27" customHeight="1" x14ac:dyDescent="0.25">
      <c r="A219" s="6"/>
      <c r="C219" s="6"/>
      <c r="D219" s="6"/>
      <c r="E219" s="6"/>
    </row>
    <row r="220" spans="1:5" ht="27" customHeight="1" x14ac:dyDescent="0.25">
      <c r="A220" s="6"/>
      <c r="C220" s="6"/>
      <c r="D220" s="6"/>
      <c r="E220" s="6"/>
    </row>
    <row r="221" spans="1:5" ht="27" customHeight="1" x14ac:dyDescent="0.25">
      <c r="A221" s="6"/>
      <c r="C221" s="6"/>
      <c r="D221" s="6"/>
      <c r="E221" s="6"/>
    </row>
    <row r="222" spans="1:5" ht="27" customHeight="1" x14ac:dyDescent="0.25">
      <c r="A222" s="6"/>
      <c r="C222" s="6"/>
      <c r="D222" s="6"/>
      <c r="E222" s="6"/>
    </row>
    <row r="223" spans="1:5" ht="27" customHeight="1" x14ac:dyDescent="0.25">
      <c r="A223" s="6"/>
      <c r="C223" s="6"/>
      <c r="D223" s="6"/>
      <c r="E223" s="6"/>
    </row>
    <row r="224" spans="1:5" ht="27" customHeight="1" x14ac:dyDescent="0.25">
      <c r="A224" s="6"/>
      <c r="C224" s="6"/>
      <c r="D224" s="6"/>
      <c r="E224" s="6"/>
    </row>
    <row r="225" spans="1:5" ht="27" customHeight="1" x14ac:dyDescent="0.25">
      <c r="A225" s="6"/>
      <c r="C225" s="6"/>
      <c r="D225" s="6"/>
      <c r="E225" s="6"/>
    </row>
    <row r="226" spans="1:5" ht="27" customHeight="1" x14ac:dyDescent="0.25">
      <c r="A226" s="6"/>
      <c r="C226" s="6"/>
      <c r="D226" s="6"/>
      <c r="E226" s="6"/>
    </row>
    <row r="227" spans="1:5" ht="27" customHeight="1" x14ac:dyDescent="0.25">
      <c r="A227" s="6"/>
      <c r="C227" s="6"/>
      <c r="D227" s="6"/>
      <c r="E227" s="6"/>
    </row>
    <row r="228" spans="1:5" ht="27" customHeight="1" x14ac:dyDescent="0.25">
      <c r="A228" s="6"/>
      <c r="C228" s="6"/>
      <c r="D228" s="6"/>
      <c r="E228" s="6"/>
    </row>
    <row r="229" spans="1:5" ht="27" customHeight="1" x14ac:dyDescent="0.25">
      <c r="A229" s="6"/>
      <c r="C229" s="6"/>
      <c r="D229" s="6"/>
      <c r="E229" s="6"/>
    </row>
    <row r="230" spans="1:5" ht="27" customHeight="1" x14ac:dyDescent="0.25">
      <c r="A230" s="6"/>
      <c r="C230" s="6"/>
      <c r="D230" s="6"/>
      <c r="E230" s="6"/>
    </row>
    <row r="231" spans="1:5" ht="27" customHeight="1" x14ac:dyDescent="0.25">
      <c r="A231" s="6"/>
      <c r="C231" s="6"/>
      <c r="D231" s="6"/>
      <c r="E231" s="6"/>
    </row>
    <row r="232" spans="1:5" ht="27" customHeight="1" x14ac:dyDescent="0.25">
      <c r="A232" s="6"/>
      <c r="C232" s="6"/>
      <c r="D232" s="6"/>
      <c r="E232" s="6"/>
    </row>
    <row r="233" spans="1:5" ht="27" customHeight="1" x14ac:dyDescent="0.25">
      <c r="A233" s="6"/>
      <c r="C233" s="6"/>
      <c r="D233" s="6"/>
      <c r="E233" s="6"/>
    </row>
    <row r="234" spans="1:5" ht="27" customHeight="1" x14ac:dyDescent="0.25">
      <c r="A234" s="6"/>
      <c r="C234" s="6"/>
      <c r="D234" s="6"/>
      <c r="E234" s="6"/>
    </row>
    <row r="235" spans="1:5" ht="27" customHeight="1" x14ac:dyDescent="0.25">
      <c r="A235" s="6"/>
      <c r="C235" s="6"/>
      <c r="D235" s="6"/>
      <c r="E235" s="6"/>
    </row>
    <row r="236" spans="1:5" ht="27" customHeight="1" x14ac:dyDescent="0.25">
      <c r="A236" s="6"/>
      <c r="C236" s="6"/>
      <c r="D236" s="6"/>
      <c r="E236" s="6"/>
    </row>
    <row r="237" spans="1:5" ht="27" customHeight="1" x14ac:dyDescent="0.25">
      <c r="A237" s="6"/>
      <c r="C237" s="6"/>
      <c r="D237" s="6"/>
      <c r="E237" s="6"/>
    </row>
    <row r="238" spans="1:5" ht="27" customHeight="1" x14ac:dyDescent="0.25">
      <c r="A238" s="6"/>
      <c r="C238" s="6"/>
      <c r="D238" s="6"/>
      <c r="E238" s="6"/>
    </row>
    <row r="239" spans="1:5" ht="27" customHeight="1" x14ac:dyDescent="0.25">
      <c r="A239" s="6"/>
      <c r="C239" s="6"/>
      <c r="D239" s="6"/>
      <c r="E239" s="6"/>
    </row>
    <row r="240" spans="1:5" ht="27" customHeight="1" x14ac:dyDescent="0.25">
      <c r="A240" s="6"/>
      <c r="C240" s="6"/>
      <c r="D240" s="6"/>
      <c r="E240" s="6"/>
    </row>
    <row r="241" spans="1:5" ht="27" customHeight="1" x14ac:dyDescent="0.25">
      <c r="A241" s="6"/>
      <c r="C241" s="6"/>
      <c r="D241" s="6"/>
      <c r="E241" s="6"/>
    </row>
    <row r="242" spans="1:5" ht="27" customHeight="1" x14ac:dyDescent="0.25">
      <c r="A242" s="6"/>
      <c r="C242" s="6"/>
      <c r="D242" s="6"/>
      <c r="E242" s="6"/>
    </row>
    <row r="243" spans="1:5" ht="27" customHeight="1" x14ac:dyDescent="0.25">
      <c r="A243" s="6"/>
      <c r="C243" s="6"/>
      <c r="D243" s="6"/>
      <c r="E243" s="6"/>
    </row>
    <row r="244" spans="1:5" ht="27" customHeight="1" x14ac:dyDescent="0.25">
      <c r="A244" s="6"/>
      <c r="C244" s="6"/>
      <c r="D244" s="6"/>
      <c r="E244" s="6"/>
    </row>
    <row r="245" spans="1:5" ht="27" customHeight="1" x14ac:dyDescent="0.25">
      <c r="A245" s="6"/>
      <c r="C245" s="6"/>
      <c r="D245" s="6"/>
      <c r="E245" s="6"/>
    </row>
    <row r="246" spans="1:5" ht="27" customHeight="1" x14ac:dyDescent="0.25">
      <c r="A246" s="6"/>
      <c r="C246" s="6"/>
      <c r="D246" s="6"/>
      <c r="E246" s="6"/>
    </row>
    <row r="247" spans="1:5" ht="27" customHeight="1" x14ac:dyDescent="0.25">
      <c r="A247" s="6"/>
      <c r="C247" s="6"/>
      <c r="D247" s="6"/>
      <c r="E247" s="6"/>
    </row>
    <row r="248" spans="1:5" ht="27" customHeight="1" x14ac:dyDescent="0.25">
      <c r="A248" s="6"/>
      <c r="C248" s="6"/>
      <c r="D248" s="6"/>
      <c r="E248" s="6"/>
    </row>
    <row r="249" spans="1:5" ht="27" customHeight="1" x14ac:dyDescent="0.25">
      <c r="A249" s="6"/>
      <c r="C249" s="6"/>
      <c r="D249" s="6"/>
      <c r="E249" s="6"/>
    </row>
    <row r="250" spans="1:5" ht="27" customHeight="1" x14ac:dyDescent="0.25">
      <c r="A250" s="6"/>
      <c r="C250" s="6"/>
      <c r="D250" s="6"/>
      <c r="E250" s="6"/>
    </row>
    <row r="251" spans="1:5" ht="27" customHeight="1" x14ac:dyDescent="0.25">
      <c r="A251" s="6"/>
      <c r="C251" s="6"/>
      <c r="D251" s="6"/>
      <c r="E251" s="6"/>
    </row>
    <row r="252" spans="1:5" ht="27" customHeight="1" x14ac:dyDescent="0.25">
      <c r="A252" s="6"/>
      <c r="C252" s="6"/>
      <c r="D252" s="6"/>
      <c r="E252" s="6"/>
    </row>
    <row r="253" spans="1:5" ht="27" customHeight="1" x14ac:dyDescent="0.25">
      <c r="A253" s="6"/>
      <c r="C253" s="6"/>
      <c r="D253" s="6"/>
      <c r="E253" s="6"/>
    </row>
    <row r="254" spans="1:5" ht="27" customHeight="1" x14ac:dyDescent="0.25">
      <c r="A254" s="6"/>
      <c r="C254" s="6"/>
      <c r="D254" s="6"/>
      <c r="E254" s="6"/>
    </row>
    <row r="255" spans="1:5" ht="27" customHeight="1" x14ac:dyDescent="0.25">
      <c r="A255" s="6"/>
      <c r="C255" s="6"/>
      <c r="D255" s="6"/>
      <c r="E255" s="6"/>
    </row>
    <row r="256" spans="1:5" ht="27" customHeight="1" x14ac:dyDescent="0.25">
      <c r="A256" s="6"/>
      <c r="C256" s="6"/>
      <c r="D256" s="6"/>
      <c r="E256" s="6"/>
    </row>
    <row r="257" spans="1:5" ht="27" customHeight="1" x14ac:dyDescent="0.25">
      <c r="A257" s="6"/>
      <c r="C257" s="6"/>
      <c r="D257" s="6"/>
      <c r="E257" s="6"/>
    </row>
    <row r="258" spans="1:5" ht="27" customHeight="1" x14ac:dyDescent="0.25">
      <c r="A258" s="6"/>
      <c r="C258" s="6"/>
      <c r="D258" s="6"/>
      <c r="E258" s="6"/>
    </row>
    <row r="259" spans="1:5" ht="27" customHeight="1" x14ac:dyDescent="0.25">
      <c r="A259" s="6"/>
      <c r="C259" s="6"/>
      <c r="D259" s="6"/>
      <c r="E259" s="6"/>
    </row>
    <row r="260" spans="1:5" ht="27" customHeight="1" x14ac:dyDescent="0.25">
      <c r="A260" s="6"/>
      <c r="C260" s="6"/>
      <c r="D260" s="6"/>
      <c r="E260" s="6"/>
    </row>
    <row r="261" spans="1:5" ht="27" customHeight="1" x14ac:dyDescent="0.25">
      <c r="A261" s="6"/>
      <c r="C261" s="6"/>
      <c r="D261" s="6"/>
      <c r="E261" s="6"/>
    </row>
    <row r="262" spans="1:5" ht="27" customHeight="1" x14ac:dyDescent="0.25">
      <c r="A262" s="6"/>
      <c r="C262" s="6"/>
      <c r="D262" s="6"/>
      <c r="E262" s="6"/>
    </row>
    <row r="263" spans="1:5" ht="27" customHeight="1" x14ac:dyDescent="0.25">
      <c r="A263" s="6"/>
      <c r="C263" s="6"/>
      <c r="D263" s="6"/>
      <c r="E263" s="6"/>
    </row>
    <row r="264" spans="1:5" ht="27" customHeight="1" x14ac:dyDescent="0.25">
      <c r="A264" s="6"/>
      <c r="C264" s="6"/>
      <c r="D264" s="6"/>
      <c r="E264" s="6"/>
    </row>
    <row r="265" spans="1:5" ht="27" customHeight="1" x14ac:dyDescent="0.25">
      <c r="A265" s="6"/>
      <c r="C265" s="6"/>
      <c r="D265" s="6"/>
      <c r="E265" s="6"/>
    </row>
    <row r="266" spans="1:5" ht="27" customHeight="1" x14ac:dyDescent="0.25">
      <c r="A266" s="6"/>
      <c r="C266" s="6"/>
      <c r="D266" s="6"/>
      <c r="E266" s="6"/>
    </row>
    <row r="267" spans="1:5" ht="27" customHeight="1" x14ac:dyDescent="0.25">
      <c r="A267" s="6"/>
      <c r="C267" s="6"/>
      <c r="D267" s="6"/>
      <c r="E267" s="6"/>
    </row>
    <row r="268" spans="1:5" ht="27" customHeight="1" x14ac:dyDescent="0.25">
      <c r="A268" s="6"/>
      <c r="C268" s="6"/>
      <c r="D268" s="6"/>
      <c r="E268" s="6"/>
    </row>
    <row r="269" spans="1:5" ht="27" customHeight="1" x14ac:dyDescent="0.25">
      <c r="A269" s="6"/>
      <c r="C269" s="6"/>
      <c r="D269" s="6"/>
      <c r="E269" s="6"/>
    </row>
    <row r="270" spans="1:5" ht="27" customHeight="1" x14ac:dyDescent="0.25">
      <c r="A270" s="6"/>
      <c r="C270" s="6"/>
      <c r="D270" s="6"/>
      <c r="E270" s="6"/>
    </row>
    <row r="271" spans="1:5" ht="27" customHeight="1" x14ac:dyDescent="0.25">
      <c r="A271" s="6"/>
      <c r="C271" s="6"/>
      <c r="D271" s="6"/>
      <c r="E271" s="6"/>
    </row>
    <row r="272" spans="1:5" ht="27" customHeight="1" x14ac:dyDescent="0.25">
      <c r="A272" s="6"/>
      <c r="C272" s="6"/>
      <c r="D272" s="6"/>
      <c r="E272" s="6"/>
    </row>
    <row r="273" spans="1:5" ht="27" customHeight="1" x14ac:dyDescent="0.25">
      <c r="A273" s="6"/>
      <c r="C273" s="6"/>
      <c r="D273" s="6"/>
      <c r="E273" s="6"/>
    </row>
    <row r="274" spans="1:5" ht="27" customHeight="1" x14ac:dyDescent="0.25">
      <c r="A274" s="6"/>
      <c r="C274" s="6"/>
      <c r="D274" s="6"/>
      <c r="E274" s="6"/>
    </row>
    <row r="275" spans="1:5" ht="27" customHeight="1" x14ac:dyDescent="0.25">
      <c r="A275" s="6"/>
      <c r="C275" s="6"/>
      <c r="D275" s="6"/>
      <c r="E275" s="6"/>
    </row>
    <row r="276" spans="1:5" ht="27" customHeight="1" x14ac:dyDescent="0.25">
      <c r="A276" s="6"/>
      <c r="C276" s="6"/>
      <c r="D276" s="6"/>
      <c r="E276" s="6"/>
    </row>
    <row r="277" spans="1:5" ht="27" customHeight="1" x14ac:dyDescent="0.25">
      <c r="A277" s="6"/>
      <c r="C277" s="6"/>
      <c r="D277" s="6"/>
      <c r="E277" s="6"/>
    </row>
    <row r="278" spans="1:5" ht="27" customHeight="1" x14ac:dyDescent="0.25">
      <c r="A278" s="6"/>
      <c r="C278" s="6"/>
      <c r="D278" s="6"/>
      <c r="E278" s="6"/>
    </row>
    <row r="279" spans="1:5" ht="27" customHeight="1" x14ac:dyDescent="0.25">
      <c r="A279" s="6"/>
      <c r="C279" s="6"/>
      <c r="D279" s="6"/>
      <c r="E279" s="6"/>
    </row>
    <row r="280" spans="1:5" ht="27" customHeight="1" x14ac:dyDescent="0.25">
      <c r="A280" s="6"/>
      <c r="C280" s="6"/>
      <c r="D280" s="6"/>
      <c r="E280" s="6"/>
    </row>
    <row r="281" spans="1:5" ht="27" customHeight="1" x14ac:dyDescent="0.25">
      <c r="A281" s="6"/>
      <c r="C281" s="6"/>
      <c r="D281" s="6"/>
      <c r="E281" s="6"/>
    </row>
    <row r="282" spans="1:5" ht="27" customHeight="1" x14ac:dyDescent="0.25">
      <c r="A282" s="6"/>
      <c r="C282" s="6"/>
      <c r="D282" s="6"/>
      <c r="E282" s="6"/>
    </row>
    <row r="283" spans="1:5" ht="27" customHeight="1" x14ac:dyDescent="0.25">
      <c r="A283" s="6"/>
      <c r="C283" s="6"/>
      <c r="D283" s="6"/>
      <c r="E283" s="6"/>
    </row>
    <row r="284" spans="1:5" ht="27" customHeight="1" x14ac:dyDescent="0.25">
      <c r="A284" s="6"/>
      <c r="C284" s="6"/>
      <c r="D284" s="6"/>
      <c r="E284" s="6"/>
    </row>
    <row r="285" spans="1:5" ht="27" customHeight="1" x14ac:dyDescent="0.25">
      <c r="A285" s="6"/>
      <c r="C285" s="6"/>
      <c r="D285" s="6"/>
      <c r="E285" s="6"/>
    </row>
    <row r="286" spans="1:5" ht="27" customHeight="1" x14ac:dyDescent="0.25">
      <c r="A286" s="6"/>
      <c r="C286" s="6"/>
      <c r="D286" s="6"/>
      <c r="E286" s="6"/>
    </row>
    <row r="287" spans="1:5" ht="27" customHeight="1" x14ac:dyDescent="0.25">
      <c r="A287" s="6"/>
      <c r="C287" s="6"/>
      <c r="D287" s="6"/>
      <c r="E287" s="6"/>
    </row>
    <row r="288" spans="1:5" ht="27" customHeight="1" x14ac:dyDescent="0.25">
      <c r="A288" s="6"/>
      <c r="C288" s="6"/>
      <c r="D288" s="6"/>
      <c r="E288" s="6"/>
    </row>
    <row r="289" spans="1:5" ht="27" customHeight="1" x14ac:dyDescent="0.25">
      <c r="A289" s="6"/>
      <c r="C289" s="6"/>
      <c r="D289" s="6"/>
      <c r="E289" s="6"/>
    </row>
    <row r="290" spans="1:5" ht="27" customHeight="1" x14ac:dyDescent="0.25">
      <c r="A290" s="6"/>
      <c r="C290" s="6"/>
      <c r="D290" s="6"/>
      <c r="E290" s="6"/>
    </row>
    <row r="291" spans="1:5" ht="27" customHeight="1" x14ac:dyDescent="0.25">
      <c r="A291" s="6"/>
      <c r="C291" s="6"/>
      <c r="D291" s="6"/>
      <c r="E291" s="6"/>
    </row>
    <row r="292" spans="1:5" ht="27" customHeight="1" x14ac:dyDescent="0.25">
      <c r="A292" s="6"/>
      <c r="C292" s="6"/>
      <c r="D292" s="6"/>
      <c r="E292" s="6"/>
    </row>
    <row r="293" spans="1:5" ht="27" customHeight="1" x14ac:dyDescent="0.25">
      <c r="A293" s="6"/>
      <c r="C293" s="6"/>
      <c r="D293" s="6"/>
      <c r="E293" s="6"/>
    </row>
    <row r="294" spans="1:5" ht="27" customHeight="1" x14ac:dyDescent="0.25">
      <c r="A294" s="6"/>
      <c r="C294" s="6"/>
      <c r="D294" s="6"/>
      <c r="E294" s="6"/>
    </row>
    <row r="295" spans="1:5" ht="27" customHeight="1" x14ac:dyDescent="0.25">
      <c r="A295" s="6"/>
      <c r="C295" s="6"/>
      <c r="D295" s="6"/>
      <c r="E295" s="6"/>
    </row>
    <row r="296" spans="1:5" ht="27" customHeight="1" x14ac:dyDescent="0.25">
      <c r="A296" s="6"/>
      <c r="C296" s="6"/>
      <c r="D296" s="6"/>
      <c r="E296" s="6"/>
    </row>
    <row r="297" spans="1:5" ht="27" customHeight="1" x14ac:dyDescent="0.25">
      <c r="A297" s="6"/>
      <c r="C297" s="6"/>
      <c r="D297" s="6"/>
      <c r="E297" s="6"/>
    </row>
    <row r="298" spans="1:5" ht="27" customHeight="1" x14ac:dyDescent="0.25">
      <c r="A298" s="6"/>
      <c r="C298" s="6"/>
      <c r="D298" s="6"/>
      <c r="E298" s="6"/>
    </row>
    <row r="299" spans="1:5" ht="27" customHeight="1" x14ac:dyDescent="0.25">
      <c r="A299" s="6"/>
      <c r="C299" s="6"/>
      <c r="D299" s="6"/>
      <c r="E299" s="6"/>
    </row>
    <row r="300" spans="1:5" ht="27" customHeight="1" x14ac:dyDescent="0.25">
      <c r="A300" s="6"/>
      <c r="C300" s="6"/>
      <c r="D300" s="6"/>
      <c r="E300" s="6"/>
    </row>
    <row r="301" spans="1:5" ht="27" customHeight="1" x14ac:dyDescent="0.25">
      <c r="A301" s="6"/>
      <c r="C301" s="6"/>
      <c r="D301" s="6"/>
      <c r="E301" s="6"/>
    </row>
    <row r="302" spans="1:5" ht="27" customHeight="1" x14ac:dyDescent="0.25">
      <c r="A302" s="6"/>
      <c r="C302" s="6"/>
      <c r="D302" s="6"/>
      <c r="E302" s="6"/>
    </row>
    <row r="303" spans="1:5" ht="27" customHeight="1" x14ac:dyDescent="0.25">
      <c r="A303" s="6"/>
      <c r="C303" s="6"/>
      <c r="D303" s="6"/>
      <c r="E303" s="6"/>
    </row>
    <row r="304" spans="1:5" ht="27" customHeight="1" x14ac:dyDescent="0.25">
      <c r="A304" s="6"/>
      <c r="C304" s="6"/>
      <c r="D304" s="6"/>
      <c r="E304" s="6"/>
    </row>
    <row r="305" spans="1:5" ht="27" customHeight="1" x14ac:dyDescent="0.25">
      <c r="A305" s="6"/>
      <c r="C305" s="6"/>
      <c r="D305" s="6"/>
      <c r="E305" s="6"/>
    </row>
    <row r="306" spans="1:5" ht="27" customHeight="1" x14ac:dyDescent="0.25">
      <c r="A306" s="6"/>
      <c r="C306" s="6"/>
      <c r="D306" s="6"/>
      <c r="E306" s="6"/>
    </row>
    <row r="307" spans="1:5" ht="27" customHeight="1" x14ac:dyDescent="0.25">
      <c r="A307" s="6"/>
      <c r="C307" s="6"/>
      <c r="D307" s="6"/>
      <c r="E307" s="6"/>
    </row>
    <row r="308" spans="1:5" ht="27" customHeight="1" x14ac:dyDescent="0.25">
      <c r="A308" s="6"/>
      <c r="C308" s="6"/>
      <c r="D308" s="6"/>
      <c r="E308" s="6"/>
    </row>
    <row r="309" spans="1:5" ht="27" customHeight="1" x14ac:dyDescent="0.25">
      <c r="A309" s="6"/>
      <c r="C309" s="6"/>
      <c r="D309" s="6"/>
      <c r="E309" s="6"/>
    </row>
    <row r="310" spans="1:5" ht="27" customHeight="1" x14ac:dyDescent="0.25">
      <c r="A310" s="6"/>
      <c r="C310" s="6"/>
      <c r="D310" s="6"/>
      <c r="E310" s="6"/>
    </row>
    <row r="311" spans="1:5" ht="27" customHeight="1" x14ac:dyDescent="0.25">
      <c r="A311" s="6"/>
      <c r="C311" s="6"/>
      <c r="D311" s="6"/>
      <c r="E311" s="6"/>
    </row>
    <row r="312" spans="1:5" ht="27" customHeight="1" x14ac:dyDescent="0.25">
      <c r="A312" s="6"/>
      <c r="C312" s="6"/>
      <c r="D312" s="6"/>
      <c r="E312" s="6"/>
    </row>
    <row r="313" spans="1:5" ht="27" customHeight="1" x14ac:dyDescent="0.25">
      <c r="A313" s="6"/>
      <c r="C313" s="6"/>
      <c r="D313" s="6"/>
      <c r="E313" s="6"/>
    </row>
    <row r="314" spans="1:5" ht="27" customHeight="1" x14ac:dyDescent="0.25">
      <c r="A314" s="6"/>
      <c r="C314" s="6"/>
      <c r="D314" s="6"/>
      <c r="E314" s="6"/>
    </row>
    <row r="315" spans="1:5" ht="27" customHeight="1" x14ac:dyDescent="0.25">
      <c r="A315" s="6"/>
      <c r="C315" s="6"/>
      <c r="D315" s="6"/>
      <c r="E315" s="6"/>
    </row>
    <row r="316" spans="1:5" ht="27" customHeight="1" x14ac:dyDescent="0.25">
      <c r="A316" s="6"/>
      <c r="C316" s="6"/>
      <c r="D316" s="6"/>
      <c r="E316" s="6"/>
    </row>
    <row r="317" spans="1:5" ht="27" customHeight="1" x14ac:dyDescent="0.25">
      <c r="A317" s="6"/>
      <c r="C317" s="6"/>
      <c r="D317" s="6"/>
      <c r="E317" s="6"/>
    </row>
    <row r="318" spans="1:5" ht="27" customHeight="1" x14ac:dyDescent="0.25">
      <c r="A318" s="6"/>
      <c r="C318" s="6"/>
      <c r="D318" s="6"/>
      <c r="E318" s="6"/>
    </row>
    <row r="319" spans="1:5" ht="27" customHeight="1" x14ac:dyDescent="0.25">
      <c r="A319" s="6"/>
      <c r="C319" s="6"/>
      <c r="D319" s="6"/>
      <c r="E319" s="6"/>
    </row>
    <row r="320" spans="1:5" ht="27" customHeight="1" x14ac:dyDescent="0.25">
      <c r="A320" s="6"/>
      <c r="C320" s="6"/>
      <c r="D320" s="6"/>
      <c r="E320" s="6"/>
    </row>
    <row r="321" spans="1:5" ht="27" customHeight="1" x14ac:dyDescent="0.25">
      <c r="A321" s="6"/>
      <c r="C321" s="6"/>
      <c r="D321" s="6"/>
      <c r="E321" s="6"/>
    </row>
    <row r="322" spans="1:5" ht="27" customHeight="1" x14ac:dyDescent="0.25">
      <c r="A322" s="6"/>
      <c r="C322" s="6"/>
      <c r="D322" s="6"/>
      <c r="E322" s="6"/>
    </row>
    <row r="323" spans="1:5" ht="27" customHeight="1" x14ac:dyDescent="0.25">
      <c r="A323" s="6"/>
      <c r="C323" s="6"/>
      <c r="D323" s="6"/>
      <c r="E323" s="6"/>
    </row>
    <row r="324" spans="1:5" ht="27" customHeight="1" x14ac:dyDescent="0.25">
      <c r="A324" s="6"/>
      <c r="C324" s="6"/>
      <c r="D324" s="6"/>
      <c r="E324" s="6"/>
    </row>
    <row r="325" spans="1:5" ht="27" customHeight="1" x14ac:dyDescent="0.25">
      <c r="A325" s="6"/>
      <c r="C325" s="6"/>
      <c r="D325" s="6"/>
      <c r="E325" s="6"/>
    </row>
    <row r="326" spans="1:5" ht="27" customHeight="1" x14ac:dyDescent="0.25">
      <c r="A326" s="6"/>
      <c r="C326" s="6"/>
      <c r="D326" s="6"/>
      <c r="E326" s="6"/>
    </row>
    <row r="327" spans="1:5" ht="27" customHeight="1" x14ac:dyDescent="0.25">
      <c r="A327" s="6"/>
      <c r="C327" s="6"/>
      <c r="D327" s="6"/>
      <c r="E327" s="6"/>
    </row>
    <row r="328" spans="1:5" ht="27" customHeight="1" x14ac:dyDescent="0.25">
      <c r="A328" s="6"/>
      <c r="C328" s="6"/>
      <c r="D328" s="6"/>
      <c r="E328" s="6"/>
    </row>
    <row r="329" spans="1:5" ht="27" customHeight="1" x14ac:dyDescent="0.25">
      <c r="A329" s="6"/>
      <c r="C329" s="6"/>
      <c r="D329" s="6"/>
      <c r="E329" s="6"/>
    </row>
    <row r="330" spans="1:5" ht="27" customHeight="1" x14ac:dyDescent="0.25">
      <c r="A330" s="6"/>
      <c r="C330" s="6"/>
      <c r="D330" s="6"/>
      <c r="E330" s="6"/>
    </row>
    <row r="331" spans="1:5" ht="27" customHeight="1" x14ac:dyDescent="0.25">
      <c r="A331" s="6"/>
      <c r="C331" s="6"/>
      <c r="D331" s="6"/>
      <c r="E331" s="6"/>
    </row>
    <row r="332" spans="1:5" ht="27" customHeight="1" x14ac:dyDescent="0.25">
      <c r="A332" s="6"/>
      <c r="C332" s="6"/>
      <c r="D332" s="6"/>
      <c r="E332" s="6"/>
    </row>
    <row r="333" spans="1:5" ht="27" customHeight="1" x14ac:dyDescent="0.25">
      <c r="A333" s="6"/>
      <c r="C333" s="6"/>
      <c r="D333" s="6"/>
      <c r="E333" s="6"/>
    </row>
    <row r="334" spans="1:5" ht="27" customHeight="1" x14ac:dyDescent="0.25">
      <c r="A334" s="6"/>
      <c r="C334" s="6"/>
      <c r="D334" s="6"/>
      <c r="E334" s="6"/>
    </row>
    <row r="335" spans="1:5" ht="27" customHeight="1" x14ac:dyDescent="0.25">
      <c r="A335" s="6"/>
      <c r="C335" s="6"/>
      <c r="D335" s="6"/>
      <c r="E335" s="6"/>
    </row>
    <row r="336" spans="1:5" ht="27" customHeight="1" x14ac:dyDescent="0.25">
      <c r="A336" s="6"/>
      <c r="C336" s="6"/>
      <c r="D336" s="6"/>
      <c r="E336" s="6"/>
    </row>
    <row r="337" spans="1:5" ht="27" customHeight="1" x14ac:dyDescent="0.25">
      <c r="A337" s="6"/>
      <c r="C337" s="6"/>
      <c r="D337" s="6"/>
      <c r="E337" s="6"/>
    </row>
    <row r="338" spans="1:5" ht="27" customHeight="1" x14ac:dyDescent="0.25">
      <c r="A338" s="6"/>
      <c r="C338" s="6"/>
      <c r="D338" s="6"/>
      <c r="E338" s="6"/>
    </row>
    <row r="339" spans="1:5" ht="27" customHeight="1" x14ac:dyDescent="0.25">
      <c r="A339" s="6"/>
      <c r="C339" s="6"/>
      <c r="D339" s="6"/>
      <c r="E339" s="6"/>
    </row>
    <row r="340" spans="1:5" ht="27" customHeight="1" x14ac:dyDescent="0.25">
      <c r="A340" s="6"/>
      <c r="C340" s="6"/>
      <c r="D340" s="6"/>
      <c r="E340" s="6"/>
    </row>
    <row r="341" spans="1:5" ht="27" customHeight="1" x14ac:dyDescent="0.25">
      <c r="A341" s="6"/>
      <c r="C341" s="6"/>
      <c r="D341" s="6"/>
      <c r="E341" s="6"/>
    </row>
    <row r="342" spans="1:5" ht="27" customHeight="1" x14ac:dyDescent="0.25">
      <c r="A342" s="6"/>
      <c r="C342" s="6"/>
      <c r="D342" s="6"/>
      <c r="E342" s="6"/>
    </row>
    <row r="343" spans="1:5" ht="27" customHeight="1" x14ac:dyDescent="0.25">
      <c r="A343" s="6"/>
      <c r="C343" s="6"/>
      <c r="D343" s="6"/>
      <c r="E343" s="6"/>
    </row>
    <row r="344" spans="1:5" ht="27" customHeight="1" x14ac:dyDescent="0.25">
      <c r="A344" s="6"/>
      <c r="C344" s="6"/>
      <c r="D344" s="6"/>
      <c r="E344" s="6"/>
    </row>
    <row r="345" spans="1:5" ht="27" customHeight="1" x14ac:dyDescent="0.25">
      <c r="A345" s="6"/>
      <c r="C345" s="6"/>
      <c r="D345" s="6"/>
      <c r="E345" s="6"/>
    </row>
    <row r="346" spans="1:5" ht="27" customHeight="1" x14ac:dyDescent="0.25">
      <c r="A346" s="6"/>
      <c r="C346" s="6"/>
      <c r="D346" s="6"/>
      <c r="E346" s="6"/>
    </row>
    <row r="347" spans="1:5" ht="27" customHeight="1" x14ac:dyDescent="0.25">
      <c r="A347" s="6"/>
      <c r="C347" s="6"/>
      <c r="D347" s="6"/>
      <c r="E347" s="6"/>
    </row>
    <row r="348" spans="1:5" ht="27" customHeight="1" x14ac:dyDescent="0.25">
      <c r="A348" s="6"/>
      <c r="C348" s="6"/>
      <c r="D348" s="6"/>
      <c r="E348" s="6"/>
    </row>
    <row r="349" spans="1:5" ht="27" customHeight="1" x14ac:dyDescent="0.25">
      <c r="A349" s="6"/>
      <c r="C349" s="6"/>
      <c r="D349" s="6"/>
      <c r="E349" s="6"/>
    </row>
    <row r="350" spans="1:5" ht="27" customHeight="1" x14ac:dyDescent="0.25">
      <c r="A350" s="6"/>
      <c r="C350" s="6"/>
      <c r="D350" s="6"/>
      <c r="E350" s="6"/>
    </row>
    <row r="351" spans="1:5" ht="27" customHeight="1" x14ac:dyDescent="0.25">
      <c r="A351" s="6"/>
      <c r="C351" s="6"/>
      <c r="D351" s="6"/>
      <c r="E351" s="6"/>
    </row>
    <row r="352" spans="1:5" ht="27" customHeight="1" x14ac:dyDescent="0.25">
      <c r="A352" s="6"/>
      <c r="C352" s="6"/>
      <c r="D352" s="6"/>
      <c r="E352" s="6"/>
    </row>
    <row r="353" spans="1:5" ht="27" customHeight="1" x14ac:dyDescent="0.25">
      <c r="A353" s="6"/>
      <c r="C353" s="6"/>
      <c r="D353" s="6"/>
      <c r="E353" s="6"/>
    </row>
    <row r="354" spans="1:5" ht="27" customHeight="1" x14ac:dyDescent="0.25">
      <c r="A354" s="6"/>
      <c r="C354" s="6"/>
      <c r="D354" s="6"/>
      <c r="E354" s="6"/>
    </row>
    <row r="355" spans="1:5" ht="27" customHeight="1" x14ac:dyDescent="0.25">
      <c r="A355" s="6"/>
      <c r="C355" s="6"/>
      <c r="D355" s="6"/>
      <c r="E355" s="6"/>
    </row>
    <row r="356" spans="1:5" ht="27" customHeight="1" x14ac:dyDescent="0.25">
      <c r="A356" s="6"/>
      <c r="C356" s="6"/>
      <c r="D356" s="6"/>
      <c r="E356" s="6"/>
    </row>
    <row r="357" spans="1:5" ht="27" customHeight="1" x14ac:dyDescent="0.25">
      <c r="A357" s="6"/>
      <c r="C357" s="6"/>
      <c r="D357" s="6"/>
      <c r="E357" s="6"/>
    </row>
    <row r="358" spans="1:5" ht="27" customHeight="1" x14ac:dyDescent="0.25">
      <c r="A358" s="6"/>
      <c r="C358" s="6"/>
      <c r="D358" s="6"/>
      <c r="E358" s="6"/>
    </row>
    <row r="359" spans="1:5" ht="27" customHeight="1" x14ac:dyDescent="0.25">
      <c r="A359" s="6"/>
      <c r="C359" s="6"/>
      <c r="D359" s="6"/>
      <c r="E359" s="6"/>
    </row>
    <row r="360" spans="1:5" ht="27" customHeight="1" x14ac:dyDescent="0.25">
      <c r="A360" s="6"/>
      <c r="C360" s="6"/>
      <c r="D360" s="6"/>
      <c r="E360" s="6"/>
    </row>
    <row r="361" spans="1:5" ht="27" customHeight="1" x14ac:dyDescent="0.25">
      <c r="A361" s="6"/>
      <c r="C361" s="6"/>
      <c r="D361" s="6"/>
      <c r="E361" s="6"/>
    </row>
    <row r="362" spans="1:5" ht="27" customHeight="1" x14ac:dyDescent="0.25">
      <c r="A362" s="6"/>
      <c r="C362" s="6"/>
      <c r="D362" s="6"/>
      <c r="E362" s="6"/>
    </row>
    <row r="363" spans="1:5" ht="27" customHeight="1" x14ac:dyDescent="0.25">
      <c r="A363" s="6"/>
      <c r="C363" s="6"/>
      <c r="D363" s="6"/>
      <c r="E363" s="6"/>
    </row>
    <row r="364" spans="1:5" ht="27" customHeight="1" x14ac:dyDescent="0.25">
      <c r="A364" s="6"/>
      <c r="C364" s="6"/>
      <c r="D364" s="6"/>
      <c r="E364" s="6"/>
    </row>
    <row r="365" spans="1:5" ht="27" customHeight="1" x14ac:dyDescent="0.25">
      <c r="A365" s="6"/>
      <c r="C365" s="6"/>
      <c r="D365" s="6"/>
      <c r="E365" s="6"/>
    </row>
    <row r="366" spans="1:5" ht="27" customHeight="1" x14ac:dyDescent="0.25">
      <c r="A366" s="6"/>
      <c r="C366" s="6"/>
      <c r="D366" s="6"/>
      <c r="E366" s="6"/>
    </row>
    <row r="367" spans="1:5" ht="27" customHeight="1" x14ac:dyDescent="0.25">
      <c r="A367" s="6"/>
      <c r="C367" s="6"/>
      <c r="D367" s="6"/>
      <c r="E367" s="6"/>
    </row>
    <row r="368" spans="1:5" ht="27" customHeight="1" x14ac:dyDescent="0.25">
      <c r="A368" s="6"/>
      <c r="C368" s="6"/>
      <c r="D368" s="6"/>
      <c r="E368" s="6"/>
    </row>
    <row r="369" spans="1:5" ht="27" customHeight="1" x14ac:dyDescent="0.25">
      <c r="A369" s="6"/>
      <c r="C369" s="6"/>
      <c r="D369" s="6"/>
      <c r="E369" s="6"/>
    </row>
    <row r="370" spans="1:5" ht="27" customHeight="1" x14ac:dyDescent="0.25">
      <c r="A370" s="6"/>
      <c r="C370" s="6"/>
      <c r="D370" s="6"/>
      <c r="E370" s="6"/>
    </row>
    <row r="371" spans="1:5" ht="27" customHeight="1" x14ac:dyDescent="0.25">
      <c r="A371" s="6"/>
      <c r="C371" s="6"/>
      <c r="D371" s="6"/>
      <c r="E371" s="6"/>
    </row>
    <row r="372" spans="1:5" ht="27" customHeight="1" x14ac:dyDescent="0.25">
      <c r="A372" s="6"/>
      <c r="C372" s="6"/>
      <c r="D372" s="6"/>
      <c r="E372" s="6"/>
    </row>
    <row r="373" spans="1:5" ht="27" customHeight="1" x14ac:dyDescent="0.25">
      <c r="A373" s="6"/>
      <c r="C373" s="6"/>
      <c r="D373" s="6"/>
      <c r="E373" s="6"/>
    </row>
    <row r="374" spans="1:5" ht="27" customHeight="1" x14ac:dyDescent="0.25">
      <c r="A374" s="6"/>
      <c r="C374" s="6"/>
      <c r="D374" s="6"/>
      <c r="E374" s="6"/>
    </row>
    <row r="375" spans="1:5" ht="27" customHeight="1" x14ac:dyDescent="0.25">
      <c r="A375" s="6"/>
      <c r="C375" s="6"/>
      <c r="D375" s="6"/>
      <c r="E375" s="6"/>
    </row>
    <row r="376" spans="1:5" ht="27" customHeight="1" x14ac:dyDescent="0.25">
      <c r="A376" s="6"/>
      <c r="C376" s="6"/>
      <c r="D376" s="6"/>
      <c r="E376" s="6"/>
    </row>
    <row r="377" spans="1:5" ht="27" customHeight="1" x14ac:dyDescent="0.25">
      <c r="A377" s="6"/>
      <c r="C377" s="6"/>
      <c r="D377" s="6"/>
      <c r="E377" s="6"/>
    </row>
    <row r="378" spans="1:5" ht="27" customHeight="1" x14ac:dyDescent="0.25">
      <c r="A378" s="6"/>
      <c r="C378" s="6"/>
      <c r="D378" s="6"/>
      <c r="E378" s="6"/>
    </row>
    <row r="379" spans="1:5" ht="27" customHeight="1" x14ac:dyDescent="0.25">
      <c r="A379" s="6"/>
      <c r="C379" s="6"/>
      <c r="D379" s="6"/>
      <c r="E379" s="6"/>
    </row>
    <row r="380" spans="1:5" ht="27" customHeight="1" x14ac:dyDescent="0.25">
      <c r="A380" s="6"/>
      <c r="C380" s="6"/>
      <c r="D380" s="6"/>
      <c r="E380" s="6"/>
    </row>
    <row r="381" spans="1:5" ht="27" customHeight="1" x14ac:dyDescent="0.25">
      <c r="A381" s="6"/>
      <c r="C381" s="6"/>
      <c r="D381" s="6"/>
      <c r="E381" s="6"/>
    </row>
    <row r="382" spans="1:5" ht="27" customHeight="1" x14ac:dyDescent="0.25">
      <c r="A382" s="6"/>
      <c r="C382" s="6"/>
      <c r="D382" s="6"/>
      <c r="E382" s="6"/>
    </row>
    <row r="383" spans="1:5" ht="27" customHeight="1" x14ac:dyDescent="0.25">
      <c r="A383" s="6"/>
      <c r="C383" s="6"/>
      <c r="D383" s="6"/>
      <c r="E383" s="6"/>
    </row>
    <row r="384" spans="1:5" ht="27" customHeight="1" x14ac:dyDescent="0.25">
      <c r="A384" s="6"/>
      <c r="C384" s="6"/>
      <c r="D384" s="6"/>
      <c r="E384" s="6"/>
    </row>
    <row r="385" spans="1:5" ht="27" customHeight="1" x14ac:dyDescent="0.25">
      <c r="A385" s="6"/>
      <c r="C385" s="6"/>
      <c r="D385" s="6"/>
      <c r="E385" s="6"/>
    </row>
    <row r="386" spans="1:5" ht="27" customHeight="1" x14ac:dyDescent="0.25">
      <c r="A386" s="6"/>
      <c r="C386" s="6"/>
      <c r="D386" s="6"/>
      <c r="E386" s="6"/>
    </row>
    <row r="387" spans="1:5" ht="27" customHeight="1" x14ac:dyDescent="0.25">
      <c r="A387" s="6"/>
      <c r="C387" s="6"/>
      <c r="D387" s="6"/>
      <c r="E387" s="6"/>
    </row>
    <row r="388" spans="1:5" ht="27" customHeight="1" x14ac:dyDescent="0.25">
      <c r="A388" s="6"/>
      <c r="C388" s="6"/>
      <c r="D388" s="6"/>
      <c r="E388" s="6"/>
    </row>
    <row r="389" spans="1:5" ht="27" customHeight="1" x14ac:dyDescent="0.25">
      <c r="A389" s="6"/>
      <c r="C389" s="6"/>
      <c r="D389" s="6"/>
      <c r="E389" s="6"/>
    </row>
    <row r="390" spans="1:5" ht="27" customHeight="1" x14ac:dyDescent="0.25">
      <c r="A390" s="6"/>
      <c r="C390" s="6"/>
      <c r="D390" s="6"/>
      <c r="E390" s="6"/>
    </row>
    <row r="391" spans="1:5" ht="27" customHeight="1" x14ac:dyDescent="0.25">
      <c r="A391" s="6"/>
      <c r="C391" s="6"/>
      <c r="D391" s="6"/>
      <c r="E391" s="6"/>
    </row>
    <row r="392" spans="1:5" ht="27" customHeight="1" x14ac:dyDescent="0.25">
      <c r="A392" s="6"/>
      <c r="C392" s="6"/>
      <c r="D392" s="6"/>
      <c r="E392" s="6"/>
    </row>
    <row r="393" spans="1:5" ht="27" customHeight="1" x14ac:dyDescent="0.25">
      <c r="A393" s="6"/>
      <c r="C393" s="6"/>
      <c r="D393" s="6"/>
      <c r="E393" s="6"/>
    </row>
    <row r="394" spans="1:5" ht="27" customHeight="1" x14ac:dyDescent="0.25">
      <c r="A394" s="6"/>
      <c r="C394" s="6"/>
      <c r="D394" s="6"/>
      <c r="E394" s="6"/>
    </row>
    <row r="395" spans="1:5" ht="27" customHeight="1" x14ac:dyDescent="0.25">
      <c r="A395" s="6"/>
      <c r="C395" s="6"/>
      <c r="D395" s="6"/>
      <c r="E395" s="6"/>
    </row>
    <row r="396" spans="1:5" ht="27" customHeight="1" x14ac:dyDescent="0.25">
      <c r="A396" s="6"/>
      <c r="C396" s="6"/>
      <c r="D396" s="6"/>
      <c r="E396" s="6"/>
    </row>
    <row r="397" spans="1:5" ht="27" customHeight="1" x14ac:dyDescent="0.25">
      <c r="A397" s="6"/>
      <c r="C397" s="6"/>
      <c r="D397" s="6"/>
      <c r="E397" s="6"/>
    </row>
    <row r="398" spans="1:5" ht="27" customHeight="1" x14ac:dyDescent="0.25">
      <c r="A398" s="6"/>
      <c r="C398" s="6"/>
      <c r="D398" s="6"/>
      <c r="E398" s="6"/>
    </row>
    <row r="399" spans="1:5" ht="27" customHeight="1" x14ac:dyDescent="0.25">
      <c r="A399" s="6"/>
      <c r="C399" s="6"/>
      <c r="D399" s="6"/>
      <c r="E399" s="6"/>
    </row>
    <row r="400" spans="1:5" ht="27" customHeight="1" x14ac:dyDescent="0.25">
      <c r="A400" s="6"/>
      <c r="C400" s="6"/>
      <c r="D400" s="6"/>
      <c r="E400" s="6"/>
    </row>
    <row r="401" spans="1:5" ht="27" customHeight="1" x14ac:dyDescent="0.25">
      <c r="A401" s="6"/>
      <c r="C401" s="6"/>
      <c r="D401" s="6"/>
      <c r="E401" s="6"/>
    </row>
    <row r="402" spans="1:5" ht="27" customHeight="1" x14ac:dyDescent="0.25">
      <c r="A402" s="6"/>
      <c r="C402" s="6"/>
      <c r="D402" s="6"/>
      <c r="E402" s="6"/>
    </row>
    <row r="403" spans="1:5" ht="27" customHeight="1" x14ac:dyDescent="0.25">
      <c r="A403" s="6"/>
      <c r="C403" s="6"/>
      <c r="D403" s="6"/>
      <c r="E403" s="6"/>
    </row>
    <row r="404" spans="1:5" ht="27" customHeight="1" x14ac:dyDescent="0.25">
      <c r="A404" s="6"/>
      <c r="C404" s="6"/>
      <c r="D404" s="6"/>
      <c r="E404" s="6"/>
    </row>
    <row r="405" spans="1:5" ht="27" customHeight="1" x14ac:dyDescent="0.25">
      <c r="A405" s="6"/>
      <c r="C405" s="6"/>
      <c r="D405" s="6"/>
      <c r="E405" s="6"/>
    </row>
    <row r="406" spans="1:5" ht="27" customHeight="1" x14ac:dyDescent="0.25">
      <c r="A406" s="6"/>
      <c r="C406" s="6"/>
      <c r="D406" s="6"/>
      <c r="E406" s="6"/>
    </row>
    <row r="407" spans="1:5" ht="27" customHeight="1" x14ac:dyDescent="0.25">
      <c r="A407" s="6"/>
      <c r="C407" s="6"/>
      <c r="D407" s="6"/>
      <c r="E407" s="6"/>
    </row>
    <row r="408" spans="1:5" ht="27" customHeight="1" x14ac:dyDescent="0.25">
      <c r="A408" s="6"/>
      <c r="C408" s="6"/>
      <c r="D408" s="6"/>
      <c r="E408" s="6"/>
    </row>
    <row r="409" spans="1:5" ht="27" customHeight="1" x14ac:dyDescent="0.25">
      <c r="A409" s="6"/>
      <c r="C409" s="6"/>
      <c r="D409" s="6"/>
      <c r="E409" s="6"/>
    </row>
    <row r="410" spans="1:5" ht="27" customHeight="1" x14ac:dyDescent="0.25">
      <c r="A410" s="6"/>
      <c r="C410" s="6"/>
      <c r="D410" s="6"/>
      <c r="E410" s="6"/>
    </row>
    <row r="411" spans="1:5" ht="27" customHeight="1" x14ac:dyDescent="0.25">
      <c r="A411" s="6"/>
      <c r="C411" s="6"/>
      <c r="D411" s="6"/>
      <c r="E411" s="6"/>
    </row>
    <row r="412" spans="1:5" ht="27" customHeight="1" x14ac:dyDescent="0.25">
      <c r="A412" s="6"/>
      <c r="C412" s="6"/>
      <c r="D412" s="6"/>
      <c r="E412" s="6"/>
    </row>
    <row r="413" spans="1:5" ht="27" customHeight="1" x14ac:dyDescent="0.25">
      <c r="A413" s="6"/>
      <c r="C413" s="6"/>
      <c r="D413" s="6"/>
      <c r="E413" s="6"/>
    </row>
    <row r="414" spans="1:5" ht="27" customHeight="1" x14ac:dyDescent="0.25">
      <c r="A414" s="6"/>
      <c r="C414" s="6"/>
      <c r="D414" s="6"/>
      <c r="E414" s="6"/>
    </row>
    <row r="415" spans="1:5" ht="27" customHeight="1" x14ac:dyDescent="0.25">
      <c r="A415" s="6"/>
      <c r="C415" s="6"/>
      <c r="D415" s="6"/>
      <c r="E415" s="6"/>
    </row>
    <row r="416" spans="1:5" ht="27" customHeight="1" x14ac:dyDescent="0.25">
      <c r="A416" s="6"/>
      <c r="C416" s="6"/>
      <c r="D416" s="6"/>
      <c r="E416" s="6"/>
    </row>
    <row r="417" spans="1:5" ht="27" customHeight="1" x14ac:dyDescent="0.25">
      <c r="A417" s="6"/>
      <c r="C417" s="6"/>
      <c r="D417" s="6"/>
      <c r="E417" s="6"/>
    </row>
    <row r="418" spans="1:5" ht="27" customHeight="1" x14ac:dyDescent="0.25">
      <c r="A418" s="6"/>
      <c r="C418" s="6"/>
      <c r="D418" s="6"/>
      <c r="E418" s="6"/>
    </row>
    <row r="419" spans="1:5" ht="27" customHeight="1" x14ac:dyDescent="0.25">
      <c r="A419" s="6"/>
      <c r="C419" s="6"/>
      <c r="D419" s="6"/>
      <c r="E419" s="6"/>
    </row>
    <row r="420" spans="1:5" ht="27" customHeight="1" x14ac:dyDescent="0.25">
      <c r="A420" s="6"/>
      <c r="C420" s="6"/>
      <c r="D420" s="6"/>
      <c r="E420" s="6"/>
    </row>
    <row r="421" spans="1:5" ht="27" customHeight="1" x14ac:dyDescent="0.25">
      <c r="A421" s="6"/>
      <c r="C421" s="6"/>
      <c r="D421" s="6"/>
      <c r="E421" s="6"/>
    </row>
    <row r="422" spans="1:5" ht="27" customHeight="1" x14ac:dyDescent="0.25">
      <c r="A422" s="6"/>
      <c r="C422" s="6"/>
      <c r="D422" s="6"/>
      <c r="E422" s="6"/>
    </row>
    <row r="423" spans="1:5" ht="27" customHeight="1" x14ac:dyDescent="0.25">
      <c r="A423" s="6"/>
      <c r="C423" s="6"/>
      <c r="D423" s="6"/>
      <c r="E423" s="6"/>
    </row>
    <row r="424" spans="1:5" ht="27" customHeight="1" x14ac:dyDescent="0.25">
      <c r="A424" s="6"/>
      <c r="C424" s="6"/>
      <c r="D424" s="6"/>
      <c r="E424" s="6"/>
    </row>
    <row r="425" spans="1:5" ht="27" customHeight="1" x14ac:dyDescent="0.25">
      <c r="A425" s="6"/>
      <c r="C425" s="6"/>
      <c r="D425" s="6"/>
      <c r="E425" s="6"/>
    </row>
    <row r="426" spans="1:5" ht="27" customHeight="1" x14ac:dyDescent="0.25">
      <c r="A426" s="6"/>
      <c r="C426" s="6"/>
      <c r="D426" s="6"/>
      <c r="E426" s="6"/>
    </row>
    <row r="427" spans="1:5" ht="27" customHeight="1" x14ac:dyDescent="0.25">
      <c r="A427" s="6"/>
      <c r="C427" s="6"/>
      <c r="D427" s="6"/>
      <c r="E427" s="6"/>
    </row>
    <row r="428" spans="1:5" ht="27" customHeight="1" x14ac:dyDescent="0.25">
      <c r="A428" s="6"/>
      <c r="C428" s="6"/>
      <c r="D428" s="6"/>
      <c r="E428" s="6"/>
    </row>
    <row r="429" spans="1:5" ht="27" customHeight="1" x14ac:dyDescent="0.25">
      <c r="A429" s="6"/>
      <c r="C429" s="6"/>
      <c r="D429" s="6"/>
      <c r="E429" s="6"/>
    </row>
    <row r="430" spans="1:5" ht="27" customHeight="1" x14ac:dyDescent="0.25">
      <c r="A430" s="6"/>
      <c r="C430" s="6"/>
      <c r="D430" s="6"/>
      <c r="E430" s="6"/>
    </row>
    <row r="431" spans="1:5" ht="27" customHeight="1" x14ac:dyDescent="0.25">
      <c r="A431" s="6"/>
      <c r="C431" s="6"/>
      <c r="D431" s="6"/>
      <c r="E431" s="6"/>
    </row>
    <row r="432" spans="1:5" ht="27" customHeight="1" x14ac:dyDescent="0.25">
      <c r="A432" s="6"/>
      <c r="C432" s="6"/>
      <c r="D432" s="6"/>
      <c r="E432" s="6"/>
    </row>
    <row r="433" spans="1:5" ht="27" customHeight="1" x14ac:dyDescent="0.25">
      <c r="A433" s="6"/>
      <c r="C433" s="6"/>
      <c r="D433" s="6"/>
      <c r="E433" s="6"/>
    </row>
    <row r="434" spans="1:5" ht="27" customHeight="1" x14ac:dyDescent="0.25">
      <c r="A434" s="6"/>
      <c r="C434" s="6"/>
      <c r="D434" s="6"/>
      <c r="E434" s="6"/>
    </row>
    <row r="435" spans="1:5" ht="27" customHeight="1" x14ac:dyDescent="0.25">
      <c r="A435" s="6"/>
      <c r="C435" s="6"/>
      <c r="D435" s="6"/>
      <c r="E435" s="6"/>
    </row>
    <row r="436" spans="1:5" ht="27" customHeight="1" x14ac:dyDescent="0.25">
      <c r="A436" s="6"/>
      <c r="C436" s="6"/>
      <c r="D436" s="6"/>
      <c r="E436" s="6"/>
    </row>
    <row r="437" spans="1:5" ht="27" customHeight="1" x14ac:dyDescent="0.25">
      <c r="A437" s="6"/>
      <c r="C437" s="6"/>
      <c r="D437" s="6"/>
      <c r="E437" s="6"/>
    </row>
    <row r="438" spans="1:5" ht="27" customHeight="1" x14ac:dyDescent="0.25">
      <c r="A438" s="6"/>
      <c r="C438" s="6"/>
      <c r="D438" s="6"/>
      <c r="E438" s="6"/>
    </row>
    <row r="439" spans="1:5" ht="27" customHeight="1" x14ac:dyDescent="0.25">
      <c r="A439" s="6"/>
      <c r="C439" s="6"/>
      <c r="D439" s="6"/>
      <c r="E439" s="6"/>
    </row>
    <row r="440" spans="1:5" ht="27" customHeight="1" x14ac:dyDescent="0.25">
      <c r="A440" s="6"/>
      <c r="C440" s="6"/>
      <c r="D440" s="6"/>
      <c r="E440" s="6"/>
    </row>
    <row r="441" spans="1:5" ht="27" customHeight="1" x14ac:dyDescent="0.25">
      <c r="A441" s="6"/>
      <c r="C441" s="6"/>
      <c r="D441" s="6"/>
      <c r="E441" s="6"/>
    </row>
    <row r="442" spans="1:5" ht="27" customHeight="1" x14ac:dyDescent="0.25">
      <c r="A442" s="6"/>
      <c r="C442" s="6"/>
      <c r="D442" s="6"/>
      <c r="E442" s="6"/>
    </row>
    <row r="443" spans="1:5" ht="27" customHeight="1" x14ac:dyDescent="0.25">
      <c r="A443" s="6"/>
      <c r="C443" s="6"/>
      <c r="D443" s="6"/>
      <c r="E443" s="6"/>
    </row>
    <row r="444" spans="1:5" ht="27" customHeight="1" x14ac:dyDescent="0.25">
      <c r="A444" s="6"/>
      <c r="C444" s="6"/>
      <c r="D444" s="6"/>
      <c r="E444" s="6"/>
    </row>
    <row r="445" spans="1:5" ht="27" customHeight="1" x14ac:dyDescent="0.25">
      <c r="A445" s="6"/>
      <c r="C445" s="6"/>
      <c r="D445" s="6"/>
      <c r="E445" s="6"/>
    </row>
    <row r="446" spans="1:5" ht="27" customHeight="1" x14ac:dyDescent="0.25">
      <c r="A446" s="6"/>
      <c r="C446" s="6"/>
      <c r="D446" s="6"/>
      <c r="E446" s="6"/>
    </row>
    <row r="447" spans="1:5" ht="27" customHeight="1" x14ac:dyDescent="0.25">
      <c r="A447" s="6"/>
      <c r="C447" s="6"/>
      <c r="D447" s="6"/>
      <c r="E447" s="6"/>
    </row>
    <row r="448" spans="1:5" ht="27" customHeight="1" x14ac:dyDescent="0.25">
      <c r="A448" s="6"/>
      <c r="C448" s="6"/>
      <c r="D448" s="6"/>
      <c r="E448" s="6"/>
    </row>
    <row r="449" spans="1:5" ht="27" customHeight="1" x14ac:dyDescent="0.25">
      <c r="A449" s="6"/>
      <c r="C449" s="6"/>
      <c r="D449" s="6"/>
      <c r="E449" s="6"/>
    </row>
    <row r="450" spans="1:5" ht="27" customHeight="1" x14ac:dyDescent="0.25">
      <c r="A450" s="6"/>
      <c r="C450" s="6"/>
      <c r="D450" s="6"/>
      <c r="E450" s="6"/>
    </row>
    <row r="451" spans="1:5" ht="27" customHeight="1" x14ac:dyDescent="0.25">
      <c r="A451" s="6"/>
      <c r="C451" s="6"/>
      <c r="D451" s="6"/>
      <c r="E451" s="6"/>
    </row>
    <row r="452" spans="1:5" ht="27" customHeight="1" x14ac:dyDescent="0.25">
      <c r="A452" s="6"/>
      <c r="C452" s="6"/>
      <c r="D452" s="6"/>
      <c r="E452" s="6"/>
    </row>
    <row r="453" spans="1:5" ht="27" customHeight="1" x14ac:dyDescent="0.25">
      <c r="A453" s="6"/>
      <c r="C453" s="6"/>
      <c r="D453" s="6"/>
      <c r="E453" s="6"/>
    </row>
    <row r="454" spans="1:5" ht="27" customHeight="1" x14ac:dyDescent="0.25">
      <c r="A454" s="6"/>
      <c r="C454" s="6"/>
      <c r="D454" s="6"/>
      <c r="E454" s="6"/>
    </row>
    <row r="455" spans="1:5" ht="27" customHeight="1" x14ac:dyDescent="0.25">
      <c r="A455" s="6"/>
      <c r="C455" s="6"/>
      <c r="D455" s="6"/>
      <c r="E455" s="6"/>
    </row>
    <row r="456" spans="1:5" ht="27" customHeight="1" x14ac:dyDescent="0.25">
      <c r="A456" s="6"/>
      <c r="C456" s="6"/>
      <c r="D456" s="6"/>
      <c r="E456" s="6"/>
    </row>
    <row r="457" spans="1:5" ht="27" customHeight="1" x14ac:dyDescent="0.25">
      <c r="A457" s="6"/>
      <c r="C457" s="6"/>
      <c r="D457" s="6"/>
      <c r="E457" s="6"/>
    </row>
    <row r="458" spans="1:5" ht="27" customHeight="1" x14ac:dyDescent="0.25">
      <c r="A458" s="6"/>
      <c r="C458" s="6"/>
      <c r="D458" s="6"/>
      <c r="E458" s="6"/>
    </row>
    <row r="459" spans="1:5" ht="27" customHeight="1" x14ac:dyDescent="0.25">
      <c r="A459" s="6"/>
      <c r="C459" s="6"/>
      <c r="D459" s="6"/>
      <c r="E459" s="6"/>
    </row>
    <row r="460" spans="1:5" ht="27" customHeight="1" x14ac:dyDescent="0.25">
      <c r="A460" s="6"/>
      <c r="C460" s="6"/>
      <c r="D460" s="6"/>
      <c r="E460" s="6"/>
    </row>
    <row r="461" spans="1:5" ht="27" customHeight="1" x14ac:dyDescent="0.25">
      <c r="A461" s="6"/>
      <c r="C461" s="6"/>
      <c r="D461" s="6"/>
      <c r="E461" s="6"/>
    </row>
    <row r="462" spans="1:5" ht="27" customHeight="1" x14ac:dyDescent="0.25">
      <c r="A462" s="6"/>
      <c r="C462" s="6"/>
      <c r="D462" s="6"/>
      <c r="E462" s="6"/>
    </row>
    <row r="463" spans="1:5" ht="27" customHeight="1" x14ac:dyDescent="0.25">
      <c r="A463" s="6"/>
      <c r="C463" s="6"/>
      <c r="D463" s="6"/>
      <c r="E463" s="6"/>
    </row>
    <row r="464" spans="1:5" ht="27" customHeight="1" x14ac:dyDescent="0.25">
      <c r="A464" s="6"/>
      <c r="C464" s="6"/>
      <c r="D464" s="6"/>
      <c r="E464" s="6"/>
    </row>
    <row r="465" spans="1:5" ht="27" customHeight="1" x14ac:dyDescent="0.25">
      <c r="A465" s="6"/>
      <c r="C465" s="6"/>
      <c r="D465" s="6"/>
      <c r="E465" s="6"/>
    </row>
    <row r="466" spans="1:5" ht="27" customHeight="1" x14ac:dyDescent="0.25">
      <c r="A466" s="6"/>
      <c r="C466" s="6"/>
      <c r="D466" s="6"/>
      <c r="E466" s="6"/>
    </row>
    <row r="467" spans="1:5" ht="27" customHeight="1" x14ac:dyDescent="0.25">
      <c r="A467" s="6"/>
      <c r="C467" s="6"/>
      <c r="D467" s="6"/>
      <c r="E467" s="6"/>
    </row>
    <row r="468" spans="1:5" ht="27" customHeight="1" x14ac:dyDescent="0.25">
      <c r="A468" s="6"/>
      <c r="C468" s="6"/>
      <c r="D468" s="6"/>
      <c r="E468" s="6"/>
    </row>
    <row r="469" spans="1:5" ht="27" customHeight="1" x14ac:dyDescent="0.25">
      <c r="A469" s="6"/>
      <c r="C469" s="6"/>
      <c r="D469" s="6"/>
      <c r="E469" s="6"/>
    </row>
    <row r="470" spans="1:5" ht="27" customHeight="1" x14ac:dyDescent="0.25">
      <c r="A470" s="6"/>
      <c r="C470" s="6"/>
      <c r="D470" s="6"/>
      <c r="E470" s="6"/>
    </row>
    <row r="471" spans="1:5" ht="27" customHeight="1" x14ac:dyDescent="0.25">
      <c r="A471" s="6"/>
      <c r="C471" s="6"/>
      <c r="D471" s="6"/>
      <c r="E471" s="6"/>
    </row>
    <row r="472" spans="1:5" ht="27" customHeight="1" x14ac:dyDescent="0.25">
      <c r="A472" s="6"/>
      <c r="C472" s="6"/>
      <c r="D472" s="6"/>
      <c r="E472" s="6"/>
    </row>
    <row r="473" spans="1:5" ht="27" customHeight="1" x14ac:dyDescent="0.25">
      <c r="A473" s="6"/>
      <c r="C473" s="6"/>
      <c r="D473" s="6"/>
      <c r="E473" s="6"/>
    </row>
    <row r="474" spans="1:5" ht="27" customHeight="1" x14ac:dyDescent="0.25">
      <c r="A474" s="6"/>
      <c r="C474" s="6"/>
      <c r="D474" s="6"/>
      <c r="E474" s="6"/>
    </row>
    <row r="475" spans="1:5" ht="27" customHeight="1" x14ac:dyDescent="0.25">
      <c r="A475" s="6"/>
      <c r="C475" s="6"/>
      <c r="D475" s="6"/>
      <c r="E475" s="6"/>
    </row>
    <row r="476" spans="1:5" ht="27" customHeight="1" x14ac:dyDescent="0.25">
      <c r="A476" s="6"/>
      <c r="C476" s="6"/>
      <c r="D476" s="6"/>
      <c r="E476" s="6"/>
    </row>
    <row r="477" spans="1:5" ht="27" customHeight="1" x14ac:dyDescent="0.25">
      <c r="A477" s="6"/>
      <c r="C477" s="6"/>
      <c r="D477" s="6"/>
      <c r="E477" s="6"/>
    </row>
    <row r="478" spans="1:5" ht="27" customHeight="1" x14ac:dyDescent="0.25">
      <c r="A478" s="6"/>
      <c r="C478" s="6"/>
      <c r="D478" s="6"/>
      <c r="E478" s="6"/>
    </row>
    <row r="479" spans="1:5" ht="27" customHeight="1" x14ac:dyDescent="0.25">
      <c r="A479" s="6"/>
      <c r="C479" s="6"/>
      <c r="D479" s="6"/>
      <c r="E479" s="6"/>
    </row>
    <row r="480" spans="1:5" ht="27" customHeight="1" x14ac:dyDescent="0.25">
      <c r="A480" s="6"/>
      <c r="C480" s="6"/>
      <c r="D480" s="6"/>
      <c r="E480" s="6"/>
    </row>
    <row r="481" spans="1:5" ht="27" customHeight="1" x14ac:dyDescent="0.25">
      <c r="A481" s="6"/>
      <c r="C481" s="6"/>
      <c r="D481" s="6"/>
      <c r="E481" s="6"/>
    </row>
    <row r="482" spans="1:5" ht="27" customHeight="1" x14ac:dyDescent="0.25">
      <c r="A482" s="6"/>
      <c r="C482" s="6"/>
      <c r="D482" s="6"/>
      <c r="E482" s="6"/>
    </row>
    <row r="483" spans="1:5" ht="27" customHeight="1" x14ac:dyDescent="0.25">
      <c r="A483" s="6"/>
      <c r="C483" s="6"/>
      <c r="D483" s="6"/>
      <c r="E483" s="6"/>
    </row>
    <row r="484" spans="1:5" ht="27" customHeight="1" x14ac:dyDescent="0.25">
      <c r="A484" s="6"/>
      <c r="C484" s="6"/>
      <c r="D484" s="6"/>
      <c r="E484" s="6"/>
    </row>
    <row r="485" spans="1:5" ht="27" customHeight="1" x14ac:dyDescent="0.25">
      <c r="A485" s="6"/>
      <c r="C485" s="6"/>
      <c r="D485" s="6"/>
      <c r="E485" s="6"/>
    </row>
    <row r="486" spans="1:5" ht="27" customHeight="1" x14ac:dyDescent="0.25">
      <c r="A486" s="6"/>
      <c r="C486" s="6"/>
      <c r="D486" s="6"/>
      <c r="E486" s="6"/>
    </row>
    <row r="487" spans="1:5" ht="27" customHeight="1" x14ac:dyDescent="0.25">
      <c r="A487" s="6"/>
      <c r="C487" s="6"/>
      <c r="D487" s="6"/>
      <c r="E487" s="6"/>
    </row>
    <row r="488" spans="1:5" ht="27" customHeight="1" x14ac:dyDescent="0.25">
      <c r="A488" s="6"/>
      <c r="C488" s="6"/>
      <c r="D488" s="6"/>
      <c r="E488" s="6"/>
    </row>
    <row r="489" spans="1:5" ht="27" customHeight="1" x14ac:dyDescent="0.25">
      <c r="A489" s="6"/>
      <c r="C489" s="6"/>
      <c r="D489" s="6"/>
      <c r="E489" s="6"/>
    </row>
    <row r="490" spans="1:5" ht="27" customHeight="1" x14ac:dyDescent="0.25">
      <c r="A490" s="6"/>
      <c r="C490" s="6"/>
      <c r="D490" s="6"/>
      <c r="E490" s="6"/>
    </row>
    <row r="491" spans="1:5" ht="27" customHeight="1" x14ac:dyDescent="0.25">
      <c r="A491" s="6"/>
      <c r="C491" s="6"/>
      <c r="D491" s="6"/>
      <c r="E491" s="6"/>
    </row>
    <row r="492" spans="1:5" ht="27" customHeight="1" x14ac:dyDescent="0.25">
      <c r="A492" s="6"/>
      <c r="C492" s="6"/>
      <c r="D492" s="6"/>
      <c r="E492" s="6"/>
    </row>
    <row r="493" spans="1:5" ht="27" customHeight="1" x14ac:dyDescent="0.25">
      <c r="A493" s="6"/>
      <c r="C493" s="6"/>
      <c r="D493" s="6"/>
      <c r="E493" s="6"/>
    </row>
    <row r="494" spans="1:5" ht="27" customHeight="1" x14ac:dyDescent="0.25">
      <c r="A494" s="6"/>
      <c r="C494" s="6"/>
      <c r="D494" s="6"/>
      <c r="E494" s="6"/>
    </row>
    <row r="495" spans="1:5" ht="27" customHeight="1" x14ac:dyDescent="0.25">
      <c r="A495" s="6"/>
      <c r="C495" s="6"/>
      <c r="D495" s="6"/>
      <c r="E495" s="6"/>
    </row>
    <row r="496" spans="1:5" ht="27" customHeight="1" x14ac:dyDescent="0.25">
      <c r="A496" s="6"/>
      <c r="C496" s="6"/>
      <c r="D496" s="6"/>
      <c r="E496" s="6"/>
    </row>
    <row r="497" spans="1:5" ht="27" customHeight="1" x14ac:dyDescent="0.25">
      <c r="A497" s="6"/>
      <c r="C497" s="6"/>
      <c r="D497" s="6"/>
      <c r="E497" s="6"/>
    </row>
    <row r="498" spans="1:5" ht="27" customHeight="1" x14ac:dyDescent="0.25">
      <c r="A498" s="6"/>
      <c r="C498" s="6"/>
      <c r="D498" s="6"/>
      <c r="E498" s="6"/>
    </row>
    <row r="499" spans="1:5" ht="27" customHeight="1" x14ac:dyDescent="0.25">
      <c r="A499" s="6"/>
      <c r="C499" s="6"/>
      <c r="D499" s="6"/>
      <c r="E499" s="6"/>
    </row>
    <row r="500" spans="1:5" ht="27" customHeight="1" x14ac:dyDescent="0.25">
      <c r="A500" s="6"/>
      <c r="C500" s="6"/>
      <c r="D500" s="6"/>
      <c r="E500" s="6"/>
    </row>
    <row r="501" spans="1:5" ht="27" customHeight="1" x14ac:dyDescent="0.25">
      <c r="A501" s="6"/>
      <c r="C501" s="6"/>
      <c r="D501" s="6"/>
      <c r="E501" s="6"/>
    </row>
    <row r="502" spans="1:5" ht="27" customHeight="1" x14ac:dyDescent="0.25">
      <c r="A502" s="6"/>
      <c r="C502" s="6"/>
      <c r="D502" s="6"/>
      <c r="E502" s="6"/>
    </row>
    <row r="503" spans="1:5" ht="27" customHeight="1" x14ac:dyDescent="0.25">
      <c r="A503" s="6"/>
      <c r="C503" s="6"/>
      <c r="D503" s="6"/>
      <c r="E503" s="6"/>
    </row>
    <row r="504" spans="1:5" ht="27" customHeight="1" x14ac:dyDescent="0.25">
      <c r="A504" s="6"/>
      <c r="C504" s="6"/>
      <c r="D504" s="6"/>
      <c r="E504" s="6"/>
    </row>
    <row r="505" spans="1:5" ht="27" customHeight="1" x14ac:dyDescent="0.25">
      <c r="A505" s="6"/>
      <c r="C505" s="6"/>
      <c r="D505" s="6"/>
      <c r="E505" s="6"/>
    </row>
    <row r="506" spans="1:5" ht="27" customHeight="1" x14ac:dyDescent="0.25">
      <c r="A506" s="6"/>
      <c r="C506" s="6"/>
      <c r="D506" s="6"/>
      <c r="E506" s="6"/>
    </row>
    <row r="507" spans="1:5" ht="27" customHeight="1" x14ac:dyDescent="0.25">
      <c r="A507" s="6"/>
      <c r="C507" s="6"/>
      <c r="D507" s="6"/>
      <c r="E507" s="6"/>
    </row>
    <row r="508" spans="1:5" ht="27" customHeight="1" x14ac:dyDescent="0.25">
      <c r="A508" s="6"/>
      <c r="C508" s="6"/>
      <c r="D508" s="6"/>
      <c r="E508" s="6"/>
    </row>
    <row r="509" spans="1:5" ht="27" customHeight="1" x14ac:dyDescent="0.25">
      <c r="A509" s="6"/>
      <c r="C509" s="6"/>
      <c r="D509" s="6"/>
      <c r="E509" s="6"/>
    </row>
    <row r="510" spans="1:5" ht="27" customHeight="1" x14ac:dyDescent="0.25">
      <c r="A510" s="6"/>
      <c r="C510" s="6"/>
      <c r="D510" s="6"/>
      <c r="E510" s="6"/>
    </row>
    <row r="511" spans="1:5" ht="27" customHeight="1" x14ac:dyDescent="0.25">
      <c r="A511" s="6"/>
      <c r="C511" s="6"/>
      <c r="D511" s="6"/>
      <c r="E511" s="6"/>
    </row>
    <row r="512" spans="1:5" ht="27" customHeight="1" x14ac:dyDescent="0.25">
      <c r="A512" s="6"/>
      <c r="C512" s="6"/>
      <c r="D512" s="6"/>
      <c r="E512" s="6"/>
    </row>
    <row r="513" spans="1:5" ht="27" customHeight="1" x14ac:dyDescent="0.25">
      <c r="A513" s="6"/>
      <c r="C513" s="6"/>
      <c r="D513" s="6"/>
      <c r="E513" s="6"/>
    </row>
    <row r="514" spans="1:5" ht="27" customHeight="1" x14ac:dyDescent="0.25">
      <c r="A514" s="6"/>
      <c r="C514" s="6"/>
      <c r="D514" s="6"/>
      <c r="E514" s="6"/>
    </row>
    <row r="515" spans="1:5" ht="27" customHeight="1" x14ac:dyDescent="0.25">
      <c r="A515" s="6"/>
      <c r="C515" s="6"/>
      <c r="D515" s="6"/>
      <c r="E515" s="6"/>
    </row>
    <row r="516" spans="1:5" ht="27" customHeight="1" x14ac:dyDescent="0.25">
      <c r="A516" s="6"/>
      <c r="C516" s="6"/>
      <c r="D516" s="6"/>
      <c r="E516" s="6"/>
    </row>
  </sheetData>
  <sheetProtection algorithmName="SHA-512" hashValue="yZDbY52Yk7y+Q4lnI/GTs9Lxl4z4QXIS+jllqZl4Q5tOK1/5s7gpz02qfPZurGhrHw8hL4uvOPwZz0ND5OQOEg==" saltValue="omq1cZfjy90y0uvU9RsY8w==" spinCount="100000" sheet="1" objects="1" scenarios="1" selectLockedCells="1" selectUnlockedCells="1"/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selection activeCell="D31" sqref="D31"/>
    </sheetView>
  </sheetViews>
  <sheetFormatPr baseColWidth="10" defaultColWidth="17.375" defaultRowHeight="15" x14ac:dyDescent="0.25"/>
  <cols>
    <col min="1" max="1" width="18.375" style="50" customWidth="1"/>
    <col min="2" max="2" width="17.375" style="50"/>
    <col min="3" max="3" width="14.625" style="50" customWidth="1"/>
    <col min="4" max="4" width="14.125" style="50" customWidth="1"/>
    <col min="5" max="5" width="15.5" style="50" customWidth="1"/>
    <col min="6" max="6" width="16" style="50" bestFit="1" customWidth="1"/>
    <col min="7" max="7" width="2.625" style="50" customWidth="1"/>
    <col min="8" max="8" width="18.875" style="50" bestFit="1" customWidth="1"/>
    <col min="9" max="16384" width="17.375" style="50"/>
  </cols>
  <sheetData>
    <row r="1" spans="1:9" ht="16.5" thickBot="1" x14ac:dyDescent="0.3">
      <c r="A1" s="132" t="s">
        <v>111</v>
      </c>
      <c r="B1" s="133"/>
    </row>
    <row r="2" spans="1:9" ht="16.5" thickBot="1" x14ac:dyDescent="0.3">
      <c r="A2" s="113" t="s">
        <v>2</v>
      </c>
      <c r="B2" s="114">
        <f>'DATOS A INTRODUCIR'!C2</f>
        <v>25000</v>
      </c>
      <c r="F2" s="51" t="s">
        <v>19</v>
      </c>
      <c r="H2" s="102" t="s">
        <v>24</v>
      </c>
      <c r="I2" s="99"/>
    </row>
    <row r="3" spans="1:9" ht="16.5" thickBot="1" x14ac:dyDescent="0.3">
      <c r="A3" s="111" t="s">
        <v>25</v>
      </c>
      <c r="B3" s="112">
        <f>IF(B2&lt;(F3)*12,(B2)*F6,(F3)*F6*12)</f>
        <v>1587.5</v>
      </c>
      <c r="F3" s="53">
        <v>3642</v>
      </c>
      <c r="H3" s="101">
        <v>14450</v>
      </c>
    </row>
    <row r="4" spans="1:9" ht="15.75" x14ac:dyDescent="0.25">
      <c r="A4" s="107" t="s">
        <v>23</v>
      </c>
      <c r="B4" s="108">
        <v>2000</v>
      </c>
      <c r="F4" s="54"/>
      <c r="H4" s="101">
        <v>11250</v>
      </c>
    </row>
    <row r="5" spans="1:9" ht="16.5" customHeight="1" thickBot="1" x14ac:dyDescent="0.3">
      <c r="A5" s="109" t="s">
        <v>3</v>
      </c>
      <c r="B5" s="110">
        <f>B2-B3-B4</f>
        <v>21412.5</v>
      </c>
      <c r="F5" s="52"/>
      <c r="H5" s="101">
        <v>3700</v>
      </c>
    </row>
    <row r="6" spans="1:9" ht="16.5" thickBot="1" x14ac:dyDescent="0.3">
      <c r="A6" s="83" t="s">
        <v>4</v>
      </c>
      <c r="B6" s="106">
        <f>IF(($B$2-$B$3)&lt;H4+1,H5,(IF(($B$2-$B$3)&gt;H3-1,H6,IF(($B$2-$B$3)&lt;H4+1,H5,(IF(($B$2-$B$3)&gt;H3-1,H6,H7))))))</f>
        <v>0</v>
      </c>
      <c r="F6" s="116">
        <v>6.3500000000000001E-2</v>
      </c>
      <c r="H6" s="101">
        <v>0</v>
      </c>
    </row>
    <row r="7" spans="1:9" ht="16.5" thickBot="1" x14ac:dyDescent="0.3">
      <c r="A7" s="84" t="s">
        <v>5</v>
      </c>
      <c r="B7" s="85">
        <f>B5-B6</f>
        <v>21412.5</v>
      </c>
      <c r="H7" s="101">
        <f>H5-(1.1562532*($B$2-$B$3-H4))</f>
        <v>-10362.929545000001</v>
      </c>
    </row>
    <row r="8" spans="1:9" ht="16.5" thickBot="1" x14ac:dyDescent="0.3">
      <c r="A8" s="86"/>
      <c r="B8" s="82"/>
      <c r="F8" s="55"/>
      <c r="G8" s="55"/>
      <c r="H8" s="103"/>
    </row>
    <row r="9" spans="1:9" ht="16.5" thickBot="1" x14ac:dyDescent="0.3">
      <c r="A9" s="87" t="s">
        <v>6</v>
      </c>
      <c r="B9" s="88">
        <f>B7</f>
        <v>21412.5</v>
      </c>
      <c r="F9" s="55"/>
      <c r="G9" s="55"/>
    </row>
    <row r="10" spans="1:9" ht="16.5" thickBot="1" x14ac:dyDescent="0.3">
      <c r="A10" s="89" t="s">
        <v>7</v>
      </c>
      <c r="B10" s="90">
        <f>B9</f>
        <v>21412.5</v>
      </c>
    </row>
    <row r="11" spans="1:9" s="59" customFormat="1" x14ac:dyDescent="0.25">
      <c r="B11" s="57"/>
      <c r="C11" s="58"/>
    </row>
    <row r="12" spans="1:9" x14ac:dyDescent="0.25">
      <c r="B12" s="56"/>
      <c r="C12" s="60" t="s">
        <v>13</v>
      </c>
      <c r="D12" s="60" t="s">
        <v>14</v>
      </c>
      <c r="E12" s="61"/>
      <c r="F12" s="62" t="s">
        <v>15</v>
      </c>
    </row>
    <row r="13" spans="1:9" s="66" customFormat="1" x14ac:dyDescent="0.25">
      <c r="B13" s="63" t="s">
        <v>8</v>
      </c>
      <c r="C13" s="64">
        <f>IF('DATOS A INTRODUCIR'!$C$3&gt;65,6700,5550)</f>
        <v>5550</v>
      </c>
      <c r="D13" s="64">
        <f>IF('DATOS A INTRODUCIR'!$C$3&gt;75,8100,5550)</f>
        <v>5550</v>
      </c>
      <c r="E13" s="64"/>
      <c r="F13" s="65">
        <f>IF('DATOS A INTRODUCIR'!$C$3&lt;=75,+'RN y MPF'!C13,'RN y MPF'!D13)</f>
        <v>5550</v>
      </c>
    </row>
    <row r="14" spans="1:9" s="66" customFormat="1" x14ac:dyDescent="0.25">
      <c r="B14" s="63" t="s">
        <v>49</v>
      </c>
      <c r="C14" s="64">
        <v>3000</v>
      </c>
      <c r="D14" s="64"/>
      <c r="E14" s="64"/>
      <c r="F14" s="65" t="str">
        <f>IF('DATOS A INTRODUCIR'!$C$4="SI",'RN y MPF'!C14," ")</f>
        <v xml:space="preserve"> </v>
      </c>
    </row>
    <row r="15" spans="1:9" s="66" customFormat="1" x14ac:dyDescent="0.25">
      <c r="B15" s="63" t="s">
        <v>82</v>
      </c>
      <c r="C15" s="64">
        <v>9000</v>
      </c>
      <c r="D15" s="64"/>
      <c r="E15" s="64"/>
      <c r="F15" s="65" t="str">
        <f>IF('DATOS A INTRODUCIR'!$C$5="SI",'RN y MPF'!C15," ")</f>
        <v xml:space="preserve"> </v>
      </c>
    </row>
    <row r="16" spans="1:9" s="70" customFormat="1" x14ac:dyDescent="0.25">
      <c r="B16" s="67" t="s">
        <v>21</v>
      </c>
      <c r="C16" s="68"/>
      <c r="D16" s="68"/>
      <c r="E16" s="68"/>
      <c r="F16" s="69">
        <f>SUM(F13:F15)</f>
        <v>5550</v>
      </c>
    </row>
    <row r="17" spans="2:6" x14ac:dyDescent="0.25">
      <c r="B17" s="56"/>
      <c r="C17" s="60" t="s">
        <v>17</v>
      </c>
      <c r="D17" s="60" t="s">
        <v>18</v>
      </c>
      <c r="E17" s="61"/>
      <c r="F17" s="65"/>
    </row>
    <row r="18" spans="2:6" s="66" customFormat="1" x14ac:dyDescent="0.25">
      <c r="B18" s="63" t="s">
        <v>9</v>
      </c>
      <c r="C18" s="64">
        <f>IF('DATOS A INTRODUCIR'!$C$6=1,2400,5100)</f>
        <v>5100</v>
      </c>
      <c r="D18" s="64">
        <f>IF('DATOS A INTRODUCIR'!$C$6=3,9100,13600)</f>
        <v>13600</v>
      </c>
      <c r="E18" s="64">
        <f>IF('DATOS A INTRODUCIR'!$C$6&lt;3,'RN y MPF'!C18,'RN y MPF'!D18)</f>
        <v>5100</v>
      </c>
      <c r="F18" s="65">
        <f>IF('DATOS A INTRODUCIR'!$C$6=0,0,'RN y MPF'!E18)</f>
        <v>0</v>
      </c>
    </row>
    <row r="19" spans="2:6" s="66" customFormat="1" x14ac:dyDescent="0.25">
      <c r="B19" s="63" t="s">
        <v>10</v>
      </c>
      <c r="C19" s="64">
        <f>IF('DATOS A INTRODUCIR'!$C$7=1,2800,5600)</f>
        <v>5600</v>
      </c>
      <c r="D19" s="64">
        <f>IF('DATOS A INTRODUCIR'!$C$7=3,8400,9600)</f>
        <v>9600</v>
      </c>
      <c r="E19" s="64">
        <f>IF('DATOS A INTRODUCIR'!$C$7&lt;3,'RN y MPF'!C19,'RN y MPF'!D19)</f>
        <v>5600</v>
      </c>
      <c r="F19" s="65">
        <f>IF('DATOS A INTRODUCIR'!$C$7=0,0,'RN y MPF'!E19)</f>
        <v>0</v>
      </c>
    </row>
    <row r="20" spans="2:6" x14ac:dyDescent="0.25">
      <c r="B20" s="56"/>
      <c r="C20" s="64"/>
      <c r="D20" s="64"/>
      <c r="E20" s="64"/>
      <c r="F20" s="65"/>
    </row>
    <row r="21" spans="2:6" x14ac:dyDescent="0.25">
      <c r="B21" s="56" t="s">
        <v>11</v>
      </c>
      <c r="C21" s="64">
        <f>IF('DATOS A INTRODUCIR'!$C$9=1,1150,2300)</f>
        <v>2300</v>
      </c>
      <c r="D21" s="64">
        <f>IF('DATOS A INTRODUCIR'!$C$9=3,3450,4600)</f>
        <v>4600</v>
      </c>
      <c r="E21" s="64">
        <f>IF('DATOS A INTRODUCIR'!$C$9&lt;3,'RN y MPF'!C21,'RN y MPF'!D21)</f>
        <v>2300</v>
      </c>
      <c r="F21" s="65">
        <f>IF('DATOS A INTRODUCIR'!$C$9=0,0,'RN y MPF'!E21)</f>
        <v>0</v>
      </c>
    </row>
    <row r="22" spans="2:6" x14ac:dyDescent="0.25">
      <c r="B22" s="56" t="s">
        <v>12</v>
      </c>
      <c r="C22" s="64">
        <f>IF('DATOS A INTRODUCIR'!$C$10=1,2550,5100)</f>
        <v>5100</v>
      </c>
      <c r="D22" s="64">
        <f>IF('DATOS A INTRODUCIR'!$C$10=3,7650,10200)</f>
        <v>10200</v>
      </c>
      <c r="E22" s="64">
        <f>IF('DATOS A INTRODUCIR'!$C$10&lt;3,'RN y MPF'!C22,'RN y MPF'!D22)</f>
        <v>5100</v>
      </c>
      <c r="F22" s="65">
        <f>IF('DATOS A INTRODUCIR'!$C$10=0,0,'RN y MPF'!E22)</f>
        <v>0</v>
      </c>
    </row>
    <row r="23" spans="2:6" x14ac:dyDescent="0.25">
      <c r="B23" s="56"/>
      <c r="C23" s="64"/>
      <c r="D23" s="64"/>
      <c r="E23" s="64"/>
      <c r="F23" s="65"/>
    </row>
    <row r="24" spans="2:6" x14ac:dyDescent="0.25">
      <c r="B24" s="56" t="s">
        <v>51</v>
      </c>
      <c r="C24" s="64">
        <f>IF('DATOS A INTRODUCIR'!$C$11=1,3000,6000)</f>
        <v>6000</v>
      </c>
      <c r="D24" s="64">
        <f>IF('DATOS A INTRODUCIR'!$C$11=3,9000,12000)</f>
        <v>12000</v>
      </c>
      <c r="E24" s="64">
        <f>IF('DATOS A INTRODUCIR'!$C$11&lt;3,'RN y MPF'!C24,'RN y MPF'!D24)</f>
        <v>6000</v>
      </c>
      <c r="F24" s="65" t="str">
        <f>IF('DATOS A INTRODUCIR'!$C$11&gt;0,'RN y MPF'!E24," ")</f>
        <v xml:space="preserve"> </v>
      </c>
    </row>
    <row r="25" spans="2:6" x14ac:dyDescent="0.25">
      <c r="B25" s="56" t="s">
        <v>81</v>
      </c>
      <c r="C25" s="64">
        <f>IF('DATOS A INTRODUCIR'!$C$12=1,9000,18000)</f>
        <v>18000</v>
      </c>
      <c r="D25" s="64">
        <f>IF('DATOS A INTRODUCIR'!$C$12=3,27000,36000)</f>
        <v>36000</v>
      </c>
      <c r="E25" s="64">
        <f>IF('DATOS A INTRODUCIR'!$C$12&lt;3,'RN y MPF'!C25,'RN y MPF'!D25)</f>
        <v>18000</v>
      </c>
      <c r="F25" s="65" t="str">
        <f>IF('DATOS A INTRODUCIR'!$C$12&gt;0,'RN y MPF'!E25," ")</f>
        <v xml:space="preserve"> </v>
      </c>
    </row>
    <row r="26" spans="2:6" s="70" customFormat="1" x14ac:dyDescent="0.25">
      <c r="B26" s="67" t="s">
        <v>21</v>
      </c>
      <c r="C26" s="68"/>
      <c r="D26" s="68"/>
      <c r="E26" s="68"/>
      <c r="F26" s="69">
        <f>SUM(F18:F25)</f>
        <v>0</v>
      </c>
    </row>
    <row r="27" spans="2:6" x14ac:dyDescent="0.25">
      <c r="B27" s="71" t="s">
        <v>84</v>
      </c>
      <c r="C27" s="72"/>
      <c r="D27" s="72"/>
      <c r="E27" s="72"/>
      <c r="F27" s="73">
        <f>F16+F26</f>
        <v>5550</v>
      </c>
    </row>
    <row r="28" spans="2:6" ht="15.75" thickBot="1" x14ac:dyDescent="0.3">
      <c r="B28" s="56"/>
      <c r="F28" s="73">
        <f>F16+(F26/2)</f>
        <v>5550</v>
      </c>
    </row>
    <row r="29" spans="2:6" ht="15.75" thickBot="1" x14ac:dyDescent="0.3">
      <c r="F29" s="74">
        <f>IF('DATOS A INTRODUCIR'!$C$13="NO",F28,F27)</f>
        <v>5550</v>
      </c>
    </row>
    <row r="33" spans="2:11" s="75" customFormat="1" ht="39.75" customHeight="1" x14ac:dyDescent="0.25">
      <c r="B33" s="104" t="s">
        <v>85</v>
      </c>
    </row>
    <row r="34" spans="2:11" s="76" customFormat="1" ht="39.75" customHeight="1" x14ac:dyDescent="0.25">
      <c r="B34" s="76" t="s">
        <v>86</v>
      </c>
    </row>
    <row r="38" spans="2:11" ht="15.75" thickBot="1" x14ac:dyDescent="0.3"/>
    <row r="39" spans="2:11" ht="15.75" thickBot="1" x14ac:dyDescent="0.3">
      <c r="B39" s="56"/>
      <c r="C39" s="60" t="s">
        <v>13</v>
      </c>
      <c r="D39" s="60" t="s">
        <v>14</v>
      </c>
      <c r="E39" s="61"/>
      <c r="F39" s="105" t="s">
        <v>15</v>
      </c>
      <c r="H39" s="136">
        <v>2016</v>
      </c>
      <c r="I39" s="137"/>
      <c r="J39" s="136" t="s">
        <v>90</v>
      </c>
      <c r="K39" s="137"/>
    </row>
    <row r="40" spans="2:11" x14ac:dyDescent="0.25">
      <c r="B40" s="63" t="s">
        <v>8</v>
      </c>
      <c r="C40" s="64">
        <f>IF('DATOS A INTRODUCIR'!$C$3&gt;65,6815,5550)</f>
        <v>5550</v>
      </c>
      <c r="D40" s="64">
        <f>IF('DATOS A INTRODUCIR'!$C$3&gt;75,8100,5550)</f>
        <v>5550</v>
      </c>
      <c r="E40" s="64"/>
      <c r="F40" s="65">
        <f>IF('DATOS A INTRODUCIR'!$C$3&lt;=75,+'RN y MPF'!C40,'RN y MPF'!D40)</f>
        <v>5550</v>
      </c>
      <c r="H40" s="134" t="s">
        <v>91</v>
      </c>
      <c r="I40" s="135"/>
      <c r="J40" s="134" t="s">
        <v>91</v>
      </c>
      <c r="K40" s="135"/>
    </row>
    <row r="41" spans="2:11" x14ac:dyDescent="0.25">
      <c r="B41" s="63" t="s">
        <v>49</v>
      </c>
      <c r="C41" s="64">
        <v>3300</v>
      </c>
      <c r="D41" s="64"/>
      <c r="E41" s="64"/>
      <c r="F41" s="65" t="str">
        <f>IF('DATOS A INTRODUCIR'!$C$4="SI",'RN y MPF'!C41," ")</f>
        <v xml:space="preserve"> </v>
      </c>
      <c r="H41" s="77" t="s">
        <v>87</v>
      </c>
      <c r="I41" s="78">
        <v>5550</v>
      </c>
      <c r="J41" s="77" t="s">
        <v>87</v>
      </c>
      <c r="K41" s="78">
        <v>5550</v>
      </c>
    </row>
    <row r="42" spans="2:11" x14ac:dyDescent="0.25">
      <c r="B42" s="63" t="s">
        <v>82</v>
      </c>
      <c r="C42" s="64">
        <v>9900</v>
      </c>
      <c r="D42" s="64"/>
      <c r="E42" s="64"/>
      <c r="F42" s="65" t="str">
        <f>IF('DATOS A INTRODUCIR'!$C$5="SI",'RN y MPF'!C42," ")</f>
        <v xml:space="preserve"> </v>
      </c>
      <c r="H42" s="77" t="s">
        <v>88</v>
      </c>
      <c r="I42" s="78">
        <v>6700</v>
      </c>
      <c r="J42" s="77" t="s">
        <v>88</v>
      </c>
      <c r="K42" s="78">
        <v>6815</v>
      </c>
    </row>
    <row r="43" spans="2:11" x14ac:dyDescent="0.25">
      <c r="B43" s="67" t="s">
        <v>21</v>
      </c>
      <c r="C43" s="68"/>
      <c r="D43" s="68"/>
      <c r="E43" s="68"/>
      <c r="F43" s="69">
        <f>SUM(F40:F42)</f>
        <v>5550</v>
      </c>
      <c r="H43" s="77" t="s">
        <v>89</v>
      </c>
      <c r="I43" s="78">
        <v>8100</v>
      </c>
      <c r="J43" s="77" t="s">
        <v>89</v>
      </c>
      <c r="K43" s="78">
        <v>8100</v>
      </c>
    </row>
    <row r="44" spans="2:11" x14ac:dyDescent="0.25">
      <c r="B44" s="56"/>
      <c r="C44" s="60" t="s">
        <v>17</v>
      </c>
      <c r="D44" s="60" t="s">
        <v>18</v>
      </c>
      <c r="E44" s="61"/>
      <c r="F44" s="65"/>
      <c r="H44" s="134" t="s">
        <v>92</v>
      </c>
      <c r="I44" s="135"/>
      <c r="J44" s="134" t="s">
        <v>92</v>
      </c>
      <c r="K44" s="135"/>
    </row>
    <row r="45" spans="2:11" x14ac:dyDescent="0.25">
      <c r="B45" s="63" t="s">
        <v>9</v>
      </c>
      <c r="C45" s="64">
        <f>IF('DATOS A INTRODUCIR'!$C$6=1,2400,5100)</f>
        <v>5100</v>
      </c>
      <c r="D45" s="64">
        <f>IF('DATOS A INTRODUCIR'!$C$6=3,9500,14450)</f>
        <v>14450</v>
      </c>
      <c r="E45" s="64">
        <f>IF('DATOS A INTRODUCIR'!$C$6&lt;3,'RN y MPF'!C45,'RN y MPF'!D45)</f>
        <v>5100</v>
      </c>
      <c r="F45" s="65">
        <f>IF('DATOS A INTRODUCIR'!$C$6=0,0,'RN y MPF'!E45)</f>
        <v>0</v>
      </c>
      <c r="H45" s="77" t="s">
        <v>93</v>
      </c>
      <c r="I45" s="78">
        <v>2400</v>
      </c>
      <c r="J45" s="77" t="s">
        <v>93</v>
      </c>
      <c r="K45" s="78">
        <v>2400</v>
      </c>
    </row>
    <row r="46" spans="2:11" x14ac:dyDescent="0.25">
      <c r="B46" s="63" t="s">
        <v>10</v>
      </c>
      <c r="C46" s="64">
        <f>IF('DATOS A INTRODUCIR'!$C$7=1,2800,5600)</f>
        <v>5600</v>
      </c>
      <c r="D46" s="64">
        <f>IF('DATOS A INTRODUCIR'!$C$7=3,8400,9600)</f>
        <v>9600</v>
      </c>
      <c r="E46" s="64">
        <f>IF('DATOS A INTRODUCIR'!$C$7&lt;3,'RN y MPF'!C46,'RN y MPF'!D46)</f>
        <v>5600</v>
      </c>
      <c r="F46" s="65">
        <f>IF('DATOS A INTRODUCIR'!$C$7=0,0,'RN y MPF'!E46)</f>
        <v>0</v>
      </c>
      <c r="H46" s="77" t="s">
        <v>94</v>
      </c>
      <c r="I46" s="78">
        <v>2700</v>
      </c>
      <c r="J46" s="77" t="s">
        <v>94</v>
      </c>
      <c r="K46" s="78">
        <v>2700</v>
      </c>
    </row>
    <row r="47" spans="2:11" x14ac:dyDescent="0.25">
      <c r="B47" s="56"/>
      <c r="C47" s="64"/>
      <c r="D47" s="64"/>
      <c r="E47" s="64"/>
      <c r="F47" s="65"/>
      <c r="H47" s="77" t="s">
        <v>95</v>
      </c>
      <c r="I47" s="78">
        <v>4000</v>
      </c>
      <c r="J47" s="77" t="s">
        <v>95</v>
      </c>
      <c r="K47" s="78">
        <v>4400</v>
      </c>
    </row>
    <row r="48" spans="2:11" x14ac:dyDescent="0.25">
      <c r="B48" s="56" t="s">
        <v>11</v>
      </c>
      <c r="C48" s="64">
        <f>IF('DATOS A INTRODUCIR'!$C$9=1,1150,2300)</f>
        <v>2300</v>
      </c>
      <c r="D48" s="64">
        <f>IF('DATOS A INTRODUCIR'!$C$9=3,3450,4600)</f>
        <v>4600</v>
      </c>
      <c r="E48" s="64">
        <f>IF('DATOS A INTRODUCIR'!$C$9&lt;3,'RN y MPF'!C48,'RN y MPF'!D48)</f>
        <v>2300</v>
      </c>
      <c r="F48" s="65">
        <f>IF('DATOS A INTRODUCIR'!$C$9=0,0,'RN y MPF'!E48)</f>
        <v>0</v>
      </c>
      <c r="H48" s="77" t="s">
        <v>96</v>
      </c>
      <c r="I48" s="78">
        <v>4500</v>
      </c>
      <c r="J48" s="77" t="s">
        <v>96</v>
      </c>
      <c r="K48" s="78">
        <v>4950</v>
      </c>
    </row>
    <row r="49" spans="2:11" ht="42.75" x14ac:dyDescent="0.25">
      <c r="B49" s="56" t="s">
        <v>12</v>
      </c>
      <c r="C49" s="64">
        <f>IF('DATOS A INTRODUCIR'!$C$10=1,2550,5100)</f>
        <v>5100</v>
      </c>
      <c r="D49" s="64">
        <f>IF('DATOS A INTRODUCIR'!$C$10=3,7650,10200)</f>
        <v>10200</v>
      </c>
      <c r="E49" s="64">
        <f>IF('DATOS A INTRODUCIR'!$C$10&lt;3,'RN y MPF'!C49,'RN y MPF'!D49)</f>
        <v>5100</v>
      </c>
      <c r="F49" s="65">
        <f>IF('DATOS A INTRODUCIR'!$C$10=0,0,'RN y MPF'!E49)</f>
        <v>0</v>
      </c>
      <c r="H49" s="77" t="s">
        <v>97</v>
      </c>
      <c r="I49" s="78">
        <v>2800</v>
      </c>
      <c r="J49" s="77" t="s">
        <v>97</v>
      </c>
      <c r="K49" s="78">
        <v>2800</v>
      </c>
    </row>
    <row r="50" spans="2:11" ht="28.5" x14ac:dyDescent="0.25">
      <c r="B50" s="56"/>
      <c r="C50" s="64"/>
      <c r="D50" s="64"/>
      <c r="E50" s="64"/>
      <c r="F50" s="65"/>
      <c r="H50" s="79" t="s">
        <v>98</v>
      </c>
      <c r="I50" s="80">
        <v>2400</v>
      </c>
      <c r="J50" s="79" t="s">
        <v>98</v>
      </c>
      <c r="K50" s="80">
        <v>2400</v>
      </c>
    </row>
    <row r="51" spans="2:11" ht="21" customHeight="1" x14ac:dyDescent="0.25">
      <c r="B51" s="56" t="s">
        <v>51</v>
      </c>
      <c r="C51" s="64">
        <f>IF('DATOS A INTRODUCIR'!$C$11=1,3300,6600)</f>
        <v>6600</v>
      </c>
      <c r="D51" s="64">
        <f>IF('DATOS A INTRODUCIR'!$C$11=3,9900,13200)</f>
        <v>13200</v>
      </c>
      <c r="E51" s="64">
        <f>IF('DATOS A INTRODUCIR'!$C$11&lt;3,'RN y MPF'!C51,'RN y MPF'!D51)</f>
        <v>6600</v>
      </c>
      <c r="F51" s="65" t="str">
        <f>IF('DATOS A INTRODUCIR'!$C$11&gt;0,'RN y MPF'!E51," ")</f>
        <v xml:space="preserve"> </v>
      </c>
      <c r="H51" s="134" t="s">
        <v>99</v>
      </c>
      <c r="I51" s="135"/>
      <c r="J51" s="134" t="s">
        <v>99</v>
      </c>
      <c r="K51" s="135"/>
    </row>
    <row r="52" spans="2:11" x14ac:dyDescent="0.25">
      <c r="B52" s="56" t="s">
        <v>81</v>
      </c>
      <c r="C52" s="64">
        <f>IF('DATOS A INTRODUCIR'!$C$12=1,9900,19800)</f>
        <v>19800</v>
      </c>
      <c r="D52" s="64">
        <f>IF('DATOS A INTRODUCIR'!$C$12=3,29700,39600)</f>
        <v>39600</v>
      </c>
      <c r="E52" s="64">
        <f>IF('DATOS A INTRODUCIR'!$C$12&lt;3,'RN y MPF'!C52,'RN y MPF'!D52)</f>
        <v>19800</v>
      </c>
      <c r="F52" s="65" t="str">
        <f>IF('DATOS A INTRODUCIR'!$C$12&gt;0,'RN y MPF'!E52," ")</f>
        <v xml:space="preserve"> </v>
      </c>
      <c r="H52" s="77" t="s">
        <v>87</v>
      </c>
      <c r="I52" s="81"/>
      <c r="J52" s="77" t="s">
        <v>87</v>
      </c>
      <c r="K52" s="81"/>
    </row>
    <row r="53" spans="2:11" x14ac:dyDescent="0.25">
      <c r="B53" s="67" t="s">
        <v>21</v>
      </c>
      <c r="C53" s="68"/>
      <c r="D53" s="68"/>
      <c r="E53" s="68"/>
      <c r="F53" s="69">
        <f>SUM(F45:F52)</f>
        <v>0</v>
      </c>
      <c r="H53" s="77" t="s">
        <v>100</v>
      </c>
      <c r="I53" s="78"/>
      <c r="J53" s="77" t="s">
        <v>100</v>
      </c>
      <c r="K53" s="78"/>
    </row>
    <row r="54" spans="2:11" x14ac:dyDescent="0.25">
      <c r="B54" s="71" t="s">
        <v>84</v>
      </c>
      <c r="C54" s="72"/>
      <c r="D54" s="72"/>
      <c r="E54" s="72"/>
      <c r="F54" s="73">
        <f>F43+F53</f>
        <v>5550</v>
      </c>
      <c r="H54" s="134" t="s">
        <v>101</v>
      </c>
      <c r="I54" s="135"/>
      <c r="J54" s="134" t="s">
        <v>101</v>
      </c>
      <c r="K54" s="135"/>
    </row>
    <row r="55" spans="2:11" ht="30" thickBot="1" x14ac:dyDescent="0.3">
      <c r="B55" s="56"/>
      <c r="F55" s="73">
        <f>F43+(F53/2)</f>
        <v>5550</v>
      </c>
      <c r="H55" s="77" t="s">
        <v>103</v>
      </c>
      <c r="I55" s="78">
        <v>3000</v>
      </c>
      <c r="J55" s="77" t="s">
        <v>103</v>
      </c>
      <c r="K55" s="78">
        <f>I55*1.1</f>
        <v>3300.0000000000005</v>
      </c>
    </row>
    <row r="56" spans="2:11" ht="15.75" thickBot="1" x14ac:dyDescent="0.3">
      <c r="F56" s="74">
        <f>IF('DATOS A INTRODUCIR'!$C$13="NO",F55,F54)</f>
        <v>5550</v>
      </c>
      <c r="H56" s="77" t="s">
        <v>104</v>
      </c>
      <c r="I56" s="78">
        <v>9000</v>
      </c>
      <c r="J56" s="77" t="s">
        <v>104</v>
      </c>
      <c r="K56" s="78">
        <f>I56*1.1</f>
        <v>9900</v>
      </c>
    </row>
    <row r="57" spans="2:11" x14ac:dyDescent="0.25">
      <c r="H57" s="77" t="s">
        <v>102</v>
      </c>
      <c r="I57" s="78">
        <v>3000</v>
      </c>
      <c r="J57" s="77" t="s">
        <v>102</v>
      </c>
      <c r="K57" s="78">
        <f>I57*1.1</f>
        <v>3300.0000000000005</v>
      </c>
    </row>
    <row r="64" spans="2:11" s="75" customFormat="1" ht="39.75" customHeight="1" x14ac:dyDescent="0.25">
      <c r="B64" s="104" t="s">
        <v>113</v>
      </c>
    </row>
    <row r="65" spans="2:6" s="76" customFormat="1" ht="39.75" customHeight="1" x14ac:dyDescent="0.25"/>
    <row r="68" spans="2:6" x14ac:dyDescent="0.25">
      <c r="B68" s="56"/>
      <c r="C68" s="60" t="s">
        <v>13</v>
      </c>
      <c r="D68" s="60" t="s">
        <v>14</v>
      </c>
      <c r="E68" s="61"/>
      <c r="F68" s="62" t="s">
        <v>15</v>
      </c>
    </row>
    <row r="69" spans="2:6" x14ac:dyDescent="0.25">
      <c r="B69" s="63" t="s">
        <v>8</v>
      </c>
      <c r="C69" s="64">
        <f>IF('DATOS A INTRODUCIR'!$C$3&gt;65,6700,5550)</f>
        <v>5550</v>
      </c>
      <c r="D69" s="64">
        <f>IF('DATOS A INTRODUCIR'!$C$3&gt;75,8100,5550)</f>
        <v>5550</v>
      </c>
      <c r="E69" s="64"/>
      <c r="F69" s="65">
        <f>IF('DATOS A INTRODUCIR'!$C$3&lt;=75,+'RN y MPF'!C69,'RN y MPF'!D69)</f>
        <v>5550</v>
      </c>
    </row>
    <row r="70" spans="2:6" x14ac:dyDescent="0.25">
      <c r="B70" s="63" t="s">
        <v>49</v>
      </c>
      <c r="C70" s="64">
        <v>3000</v>
      </c>
      <c r="D70" s="64"/>
      <c r="E70" s="64"/>
      <c r="F70" s="65" t="str">
        <f>IF('DATOS A INTRODUCIR'!$C$4="SI",'RN y MPF'!C70," ")</f>
        <v xml:space="preserve"> </v>
      </c>
    </row>
    <row r="71" spans="2:6" x14ac:dyDescent="0.25">
      <c r="B71" s="63" t="s">
        <v>82</v>
      </c>
      <c r="C71" s="64">
        <v>9000</v>
      </c>
      <c r="D71" s="64"/>
      <c r="E71" s="64"/>
      <c r="F71" s="65" t="str">
        <f>IF('DATOS A INTRODUCIR'!$C$5="SI",'RN y MPF'!C71," ")</f>
        <v xml:space="preserve"> </v>
      </c>
    </row>
    <row r="72" spans="2:6" x14ac:dyDescent="0.25">
      <c r="B72" s="67" t="s">
        <v>21</v>
      </c>
      <c r="C72" s="68"/>
      <c r="D72" s="68"/>
      <c r="E72" s="68"/>
      <c r="F72" s="69">
        <f>SUM(F69:F71)</f>
        <v>5550</v>
      </c>
    </row>
    <row r="73" spans="2:6" x14ac:dyDescent="0.25">
      <c r="B73" s="56"/>
      <c r="C73" s="60" t="s">
        <v>17</v>
      </c>
      <c r="D73" s="60" t="s">
        <v>18</v>
      </c>
      <c r="E73" s="61"/>
      <c r="F73" s="65"/>
    </row>
    <row r="74" spans="2:6" x14ac:dyDescent="0.25">
      <c r="B74" s="63" t="s">
        <v>9</v>
      </c>
      <c r="C74" s="64">
        <f>IF('DATOS A INTRODUCIR'!$C$6=1,2400,5100)</f>
        <v>5100</v>
      </c>
      <c r="D74" s="64">
        <f>IF('DATOS A INTRODUCIR'!$C$6=3,9500,14450)</f>
        <v>14450</v>
      </c>
      <c r="E74" s="64">
        <f>IF('DATOS A INTRODUCIR'!$C$6&lt;3,'RN y MPF'!C74,'RN y MPF'!D74)</f>
        <v>5100</v>
      </c>
      <c r="F74" s="65">
        <f>IF('DATOS A INTRODUCIR'!$C$6=0,0,'RN y MPF'!E74)</f>
        <v>0</v>
      </c>
    </row>
    <row r="75" spans="2:6" x14ac:dyDescent="0.25">
      <c r="B75" s="63" t="s">
        <v>10</v>
      </c>
      <c r="C75" s="64">
        <f>IF('DATOS A INTRODUCIR'!$C$7=1,2800,5600)</f>
        <v>5600</v>
      </c>
      <c r="D75" s="64">
        <f>IF('DATOS A INTRODUCIR'!$C$7=3,8400,9600)</f>
        <v>9600</v>
      </c>
      <c r="E75" s="64">
        <f>IF('DATOS A INTRODUCIR'!$C$7&lt;3,'RN y MPF'!C75,'RN y MPF'!D75)</f>
        <v>5600</v>
      </c>
      <c r="F75" s="65">
        <f>IF('DATOS A INTRODUCIR'!$C$7=0,0,'RN y MPF'!E75)</f>
        <v>0</v>
      </c>
    </row>
    <row r="76" spans="2:6" x14ac:dyDescent="0.25">
      <c r="B76" s="56"/>
      <c r="C76" s="64"/>
      <c r="D76" s="64"/>
      <c r="E76" s="64"/>
      <c r="F76" s="65"/>
    </row>
    <row r="77" spans="2:6" x14ac:dyDescent="0.25">
      <c r="B77" s="56" t="s">
        <v>11</v>
      </c>
      <c r="C77" s="64">
        <f>IF('DATOS A INTRODUCIR'!$C$9=1,1150,2300)</f>
        <v>2300</v>
      </c>
      <c r="D77" s="64">
        <f>IF('DATOS A INTRODUCIR'!$C$9=3,3450,4600)</f>
        <v>4600</v>
      </c>
      <c r="E77" s="64">
        <f>IF('DATOS A INTRODUCIR'!$C$9&lt;3,'RN y MPF'!C77,'RN y MPF'!D77)</f>
        <v>2300</v>
      </c>
      <c r="F77" s="65">
        <f>IF('DATOS A INTRODUCIR'!$C$9=0,0,'RN y MPF'!E77)</f>
        <v>0</v>
      </c>
    </row>
    <row r="78" spans="2:6" x14ac:dyDescent="0.25">
      <c r="B78" s="56" t="s">
        <v>12</v>
      </c>
      <c r="C78" s="64">
        <f>IF('DATOS A INTRODUCIR'!$C$10=1,2550,5100)</f>
        <v>5100</v>
      </c>
      <c r="D78" s="64">
        <f>IF('DATOS A INTRODUCIR'!$C$10=3,7650,10200)</f>
        <v>10200</v>
      </c>
      <c r="E78" s="64">
        <f>IF('DATOS A INTRODUCIR'!$C$10&lt;3,'RN y MPF'!C78,'RN y MPF'!D78)</f>
        <v>5100</v>
      </c>
      <c r="F78" s="65">
        <f>IF('DATOS A INTRODUCIR'!$C$10=0,0,'RN y MPF'!E78)</f>
        <v>0</v>
      </c>
    </row>
    <row r="79" spans="2:6" x14ac:dyDescent="0.25">
      <c r="B79" s="56"/>
      <c r="C79" s="64"/>
      <c r="D79" s="64"/>
      <c r="E79" s="64"/>
      <c r="F79" s="65"/>
    </row>
    <row r="80" spans="2:6" x14ac:dyDescent="0.25">
      <c r="B80" s="56" t="s">
        <v>51</v>
      </c>
      <c r="C80" s="64">
        <f>IF('DATOS A INTRODUCIR'!$C$11=1,3000,6000)</f>
        <v>6000</v>
      </c>
      <c r="D80" s="64">
        <f>IF('DATOS A INTRODUCIR'!$C$11=3,9000,12000)</f>
        <v>12000</v>
      </c>
      <c r="E80" s="64">
        <f>IF('DATOS A INTRODUCIR'!$C$11&lt;3,'RN y MPF'!C80,'RN y MPF'!D80)</f>
        <v>6000</v>
      </c>
      <c r="F80" s="65" t="str">
        <f>IF('DATOS A INTRODUCIR'!$C$11&gt;0,'RN y MPF'!E80," ")</f>
        <v xml:space="preserve"> </v>
      </c>
    </row>
    <row r="81" spans="2:6" x14ac:dyDescent="0.25">
      <c r="B81" s="56" t="s">
        <v>81</v>
      </c>
      <c r="C81" s="64">
        <f>IF('DATOS A INTRODUCIR'!$C$12=1,9000,18000)</f>
        <v>18000</v>
      </c>
      <c r="D81" s="64">
        <f>IF('DATOS A INTRODUCIR'!$C$12=3,27000,36000)</f>
        <v>36000</v>
      </c>
      <c r="E81" s="64">
        <f>IF('DATOS A INTRODUCIR'!$C$12&lt;3,'RN y MPF'!C81,'RN y MPF'!D81)</f>
        <v>18000</v>
      </c>
      <c r="F81" s="65" t="str">
        <f>IF('DATOS A INTRODUCIR'!$C$12&gt;0,'RN y MPF'!E81," ")</f>
        <v xml:space="preserve"> </v>
      </c>
    </row>
    <row r="82" spans="2:6" x14ac:dyDescent="0.25">
      <c r="B82" s="67" t="s">
        <v>21</v>
      </c>
      <c r="C82" s="68"/>
      <c r="D82" s="68"/>
      <c r="E82" s="68"/>
      <c r="F82" s="69">
        <f>SUM(F74:F81)</f>
        <v>0</v>
      </c>
    </row>
    <row r="83" spans="2:6" x14ac:dyDescent="0.25">
      <c r="B83" s="71" t="s">
        <v>84</v>
      </c>
      <c r="C83" s="72"/>
      <c r="D83" s="72"/>
      <c r="E83" s="72"/>
      <c r="F83" s="73">
        <f>F72+F82</f>
        <v>5550</v>
      </c>
    </row>
    <row r="84" spans="2:6" ht="15.75" thickBot="1" x14ac:dyDescent="0.3">
      <c r="B84" s="56"/>
      <c r="F84" s="73">
        <f>F72+(F82/2)</f>
        <v>5550</v>
      </c>
    </row>
    <row r="85" spans="2:6" ht="15.75" thickBot="1" x14ac:dyDescent="0.3">
      <c r="F85" s="74">
        <f>IF('DATOS A INTRODUCIR'!$C$13="NO",F84,F83)</f>
        <v>5550</v>
      </c>
    </row>
  </sheetData>
  <sheetProtection algorithmName="SHA-512" hashValue="BP3zukfvyzj1ojrCfi+YNnLav+porQSzC11XfOMcYIsnOO0gxrEEyXz2xW98UWMc+iZueJtdr2fmmN0pNsGqJg==" saltValue="scQFbdP8BGr5fnqJcfK/sg==" spinCount="100000" sheet="1" objects="1" scenarios="1" selectLockedCells="1" selectUnlockedCells="1"/>
  <mergeCells count="11">
    <mergeCell ref="A1:B1"/>
    <mergeCell ref="H51:I51"/>
    <mergeCell ref="J51:K51"/>
    <mergeCell ref="H54:I54"/>
    <mergeCell ref="J54:K54"/>
    <mergeCell ref="H39:I39"/>
    <mergeCell ref="J39:K39"/>
    <mergeCell ref="H40:I40"/>
    <mergeCell ref="J40:K40"/>
    <mergeCell ref="H44:I44"/>
    <mergeCell ref="J44:K44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4"/>
  <sheetViews>
    <sheetView workbookViewId="0">
      <selection activeCell="D25" sqref="D25"/>
    </sheetView>
  </sheetViews>
  <sheetFormatPr baseColWidth="10" defaultColWidth="10.875" defaultRowHeight="15" x14ac:dyDescent="0.2"/>
  <cols>
    <col min="1" max="1" width="4.625" style="36" customWidth="1"/>
    <col min="2" max="2" width="19.5" style="16" bestFit="1" customWidth="1"/>
    <col min="3" max="3" width="18.625" style="16" customWidth="1"/>
    <col min="4" max="4" width="23" style="16" bestFit="1" customWidth="1"/>
    <col min="5" max="5" width="16" style="16" bestFit="1" customWidth="1"/>
    <col min="6" max="6" width="24.625" style="16" customWidth="1"/>
    <col min="7" max="7" width="22.125" style="16" customWidth="1"/>
    <col min="8" max="9" width="21.5" style="36" bestFit="1" customWidth="1"/>
    <col min="10" max="10" width="11.625" style="36" bestFit="1" customWidth="1"/>
    <col min="11" max="20" width="10.875" style="36"/>
    <col min="21" max="16384" width="10.875" style="16"/>
  </cols>
  <sheetData>
    <row r="1" spans="1:20" s="36" customFormat="1" x14ac:dyDescent="0.2"/>
    <row r="2" spans="1:20" s="36" customFormat="1" x14ac:dyDescent="0.2"/>
    <row r="3" spans="1:20" s="36" customFormat="1" ht="15.75" thickBot="1" x14ac:dyDescent="0.25"/>
    <row r="4" spans="1:20" s="12" customFormat="1" ht="18.75" thickBot="1" x14ac:dyDescent="0.25">
      <c r="A4" s="36"/>
      <c r="B4" s="138" t="s">
        <v>1</v>
      </c>
      <c r="C4" s="139"/>
      <c r="D4" s="139"/>
      <c r="E4" s="140"/>
      <c r="F4" s="17" t="s">
        <v>0</v>
      </c>
      <c r="G4" s="17" t="s">
        <v>22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s="12" customFormat="1" ht="15.75" thickTop="1" x14ac:dyDescent="0.2">
      <c r="A5" s="36"/>
      <c r="B5" s="38">
        <v>0</v>
      </c>
      <c r="C5" s="44">
        <v>0</v>
      </c>
      <c r="D5" s="41">
        <v>12450</v>
      </c>
      <c r="E5" s="47">
        <v>9.5000000000000001E-2</v>
      </c>
      <c r="F5" s="13" t="str">
        <f>IF(D$13&gt;=B5,IF(D$13&lt;=D5,((D$13-B5)*E5)+C5," ")," ")</f>
        <v xml:space="preserve"> </v>
      </c>
      <c r="G5" s="13">
        <f>IF(D$14&gt;=B5,IF(D$14&lt;=D5,((D$14-B5)*E5)+C5," ")," ")</f>
        <v>527.25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12" customFormat="1" x14ac:dyDescent="0.2">
      <c r="A6" s="36"/>
      <c r="B6" s="39">
        <v>12450</v>
      </c>
      <c r="C6" s="45">
        <v>1182.75</v>
      </c>
      <c r="D6" s="42">
        <f>B7</f>
        <v>20200</v>
      </c>
      <c r="E6" s="48">
        <v>0.12</v>
      </c>
      <c r="F6" s="13" t="str">
        <f t="shared" ref="F6:F8" si="0">IF(D$13&gt;=B6,IF(D$13&lt;=D6,((D$13-B6)*E6)+C6," ")," ")</f>
        <v xml:space="preserve"> </v>
      </c>
      <c r="G6" s="13" t="str">
        <f t="shared" ref="G6:G9" si="1">IF(D$14&gt;=B6,IF(D$14&lt;=D6,((D$14-B6)*E6)+C6," ")," ")</f>
        <v xml:space="preserve"> 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s="12" customFormat="1" x14ac:dyDescent="0.2">
      <c r="A7" s="36"/>
      <c r="B7" s="39">
        <v>20200</v>
      </c>
      <c r="C7" s="45">
        <v>2112.75</v>
      </c>
      <c r="D7" s="42">
        <f>B8</f>
        <v>35200</v>
      </c>
      <c r="E7" s="48">
        <v>0.15</v>
      </c>
      <c r="F7" s="13">
        <f t="shared" si="0"/>
        <v>2294.625</v>
      </c>
      <c r="G7" s="13" t="str">
        <f t="shared" si="1"/>
        <v xml:space="preserve"> 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s="12" customFormat="1" x14ac:dyDescent="0.2">
      <c r="A8" s="36"/>
      <c r="B8" s="39">
        <v>35200</v>
      </c>
      <c r="C8" s="45">
        <v>4362.75</v>
      </c>
      <c r="D8" s="42">
        <f>B9</f>
        <v>60000</v>
      </c>
      <c r="E8" s="48">
        <v>0.185</v>
      </c>
      <c r="F8" s="13" t="str">
        <f t="shared" si="0"/>
        <v xml:space="preserve"> </v>
      </c>
      <c r="G8" s="13" t="str">
        <f t="shared" si="1"/>
        <v xml:space="preserve"> 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s="12" customFormat="1" ht="15.75" thickBot="1" x14ac:dyDescent="0.25">
      <c r="A9" s="36"/>
      <c r="B9" s="40">
        <v>60000</v>
      </c>
      <c r="C9" s="46">
        <v>8950.75</v>
      </c>
      <c r="D9" s="43">
        <v>10000000000</v>
      </c>
      <c r="E9" s="49">
        <v>0.22500000000000001</v>
      </c>
      <c r="F9" s="13" t="str">
        <f>IF(D$13&gt;=B9,IF(D$13&lt;=D9,((D$13-B9)*E9)+C9," ")," ")</f>
        <v xml:space="preserve"> </v>
      </c>
      <c r="G9" s="13" t="str">
        <f t="shared" si="1"/>
        <v xml:space="preserve"> 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s="12" customFormat="1" ht="21" thickTop="1" thickBot="1" x14ac:dyDescent="0.25">
      <c r="A10" s="36"/>
      <c r="B10" s="36"/>
      <c r="C10" s="36"/>
      <c r="D10" s="36"/>
      <c r="E10" s="36"/>
      <c r="F10" s="14">
        <f>SUM(F5:F9)</f>
        <v>2294.625</v>
      </c>
      <c r="G10" s="15">
        <f>SUM(G5:G9)</f>
        <v>527.25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s="36" customFormat="1" x14ac:dyDescent="0.2"/>
    <row r="12" spans="1:20" s="36" customFormat="1" ht="15.75" thickBot="1" x14ac:dyDescent="0.25"/>
    <row r="13" spans="1:20" s="12" customFormat="1" ht="25.5" thickBot="1" x14ac:dyDescent="0.25">
      <c r="A13" s="36"/>
      <c r="B13" s="141" t="s">
        <v>45</v>
      </c>
      <c r="C13" s="141"/>
      <c r="D13" s="18">
        <f>'RN y MPF'!B10</f>
        <v>21412.5</v>
      </c>
      <c r="E13" s="36"/>
      <c r="F13" s="37">
        <f>F10-G10</f>
        <v>1767.375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12" customFormat="1" ht="18.95" customHeight="1" x14ac:dyDescent="0.2">
      <c r="A14" s="36"/>
      <c r="B14" s="141" t="s">
        <v>46</v>
      </c>
      <c r="C14" s="141"/>
      <c r="D14" s="19">
        <f>'RN y MPF'!F29</f>
        <v>5550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s="36" customFormat="1" ht="19.5" x14ac:dyDescent="0.2">
      <c r="F15" s="125">
        <f>F13*2</f>
        <v>3534.75</v>
      </c>
    </row>
    <row r="16" spans="1:20" s="36" customFormat="1" ht="15.75" thickBot="1" x14ac:dyDescent="0.25">
      <c r="F16" s="126">
        <f>F15/'DATOS A INTRODUCIR'!C2</f>
        <v>0.14138999999999999</v>
      </c>
    </row>
    <row r="17" spans="4:6" s="36" customFormat="1" ht="15.75" thickBot="1" x14ac:dyDescent="0.25">
      <c r="E17" s="127" t="s">
        <v>114</v>
      </c>
      <c r="F17" s="128">
        <f>TRUNC(F16,4)</f>
        <v>0.14130000000000001</v>
      </c>
    </row>
    <row r="18" spans="4:6" s="36" customFormat="1" x14ac:dyDescent="0.2"/>
    <row r="19" spans="4:6" s="36" customFormat="1" x14ac:dyDescent="0.2"/>
    <row r="20" spans="4:6" s="36" customFormat="1" x14ac:dyDescent="0.2">
      <c r="D20" s="118"/>
    </row>
    <row r="21" spans="4:6" s="36" customFormat="1" x14ac:dyDescent="0.2"/>
    <row r="22" spans="4:6" s="36" customFormat="1" x14ac:dyDescent="0.2"/>
    <row r="23" spans="4:6" s="36" customFormat="1" x14ac:dyDescent="0.2"/>
    <row r="24" spans="4:6" s="36" customFormat="1" x14ac:dyDescent="0.2"/>
    <row r="25" spans="4:6" s="36" customFormat="1" x14ac:dyDescent="0.2"/>
    <row r="26" spans="4:6" s="36" customFormat="1" x14ac:dyDescent="0.2"/>
    <row r="27" spans="4:6" s="36" customFormat="1" x14ac:dyDescent="0.2"/>
    <row r="28" spans="4:6" s="36" customFormat="1" x14ac:dyDescent="0.2"/>
    <row r="29" spans="4:6" s="36" customFormat="1" x14ac:dyDescent="0.2"/>
    <row r="30" spans="4:6" s="36" customFormat="1" x14ac:dyDescent="0.2"/>
    <row r="31" spans="4:6" s="36" customFormat="1" x14ac:dyDescent="0.2"/>
    <row r="32" spans="4:6" s="36" customFormat="1" x14ac:dyDescent="0.2"/>
    <row r="33" s="36" customFormat="1" x14ac:dyDescent="0.2"/>
    <row r="34" s="36" customFormat="1" x14ac:dyDescent="0.2"/>
    <row r="35" s="36" customFormat="1" x14ac:dyDescent="0.2"/>
    <row r="36" s="36" customFormat="1" x14ac:dyDescent="0.2"/>
    <row r="37" s="36" customFormat="1" x14ac:dyDescent="0.2"/>
    <row r="38" s="36" customFormat="1" x14ac:dyDescent="0.2"/>
    <row r="39" s="36" customFormat="1" x14ac:dyDescent="0.2"/>
    <row r="40" s="36" customFormat="1" x14ac:dyDescent="0.2"/>
    <row r="41" s="36" customFormat="1" x14ac:dyDescent="0.2"/>
    <row r="42" s="36" customFormat="1" x14ac:dyDescent="0.2"/>
    <row r="43" s="36" customFormat="1" x14ac:dyDescent="0.2"/>
    <row r="44" s="36" customFormat="1" x14ac:dyDescent="0.2"/>
    <row r="45" s="36" customFormat="1" x14ac:dyDescent="0.2"/>
    <row r="46" s="36" customFormat="1" x14ac:dyDescent="0.2"/>
    <row r="47" s="36" customFormat="1" x14ac:dyDescent="0.2"/>
    <row r="48" s="36" customFormat="1" x14ac:dyDescent="0.2"/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  <row r="57" s="36" customFormat="1" x14ac:dyDescent="0.2"/>
    <row r="58" s="36" customFormat="1" x14ac:dyDescent="0.2"/>
    <row r="59" s="36" customFormat="1" x14ac:dyDescent="0.2"/>
    <row r="60" s="36" customFormat="1" x14ac:dyDescent="0.2"/>
    <row r="61" s="36" customFormat="1" x14ac:dyDescent="0.2"/>
    <row r="62" s="36" customFormat="1" x14ac:dyDescent="0.2"/>
    <row r="63" s="36" customFormat="1" x14ac:dyDescent="0.2"/>
    <row r="64" s="36" customFormat="1" x14ac:dyDescent="0.2"/>
    <row r="65" s="36" customFormat="1" x14ac:dyDescent="0.2"/>
    <row r="66" s="36" customFormat="1" x14ac:dyDescent="0.2"/>
    <row r="67" s="36" customFormat="1" x14ac:dyDescent="0.2"/>
    <row r="68" s="36" customFormat="1" x14ac:dyDescent="0.2"/>
    <row r="69" s="36" customFormat="1" x14ac:dyDescent="0.2"/>
    <row r="70" s="36" customFormat="1" x14ac:dyDescent="0.2"/>
    <row r="71" s="36" customFormat="1" x14ac:dyDescent="0.2"/>
    <row r="72" s="36" customFormat="1" x14ac:dyDescent="0.2"/>
    <row r="73" s="36" customFormat="1" x14ac:dyDescent="0.2"/>
    <row r="74" s="36" customFormat="1" x14ac:dyDescent="0.2"/>
    <row r="75" s="36" customFormat="1" x14ac:dyDescent="0.2"/>
    <row r="76" s="36" customFormat="1" x14ac:dyDescent="0.2"/>
    <row r="77" s="36" customFormat="1" x14ac:dyDescent="0.2"/>
    <row r="78" s="36" customFormat="1" x14ac:dyDescent="0.2"/>
    <row r="79" s="36" customFormat="1" x14ac:dyDescent="0.2"/>
    <row r="80" s="36" customFormat="1" x14ac:dyDescent="0.2"/>
    <row r="81" s="36" customFormat="1" x14ac:dyDescent="0.2"/>
    <row r="82" s="36" customFormat="1" x14ac:dyDescent="0.2"/>
    <row r="83" s="36" customFormat="1" x14ac:dyDescent="0.2"/>
    <row r="84" s="36" customFormat="1" x14ac:dyDescent="0.2"/>
    <row r="85" s="36" customFormat="1" x14ac:dyDescent="0.2"/>
    <row r="86" s="36" customFormat="1" x14ac:dyDescent="0.2"/>
    <row r="87" s="36" customFormat="1" x14ac:dyDescent="0.2"/>
    <row r="88" s="36" customFormat="1" x14ac:dyDescent="0.2"/>
    <row r="89" s="36" customFormat="1" x14ac:dyDescent="0.2"/>
    <row r="90" s="36" customFormat="1" x14ac:dyDescent="0.2"/>
    <row r="91" s="36" customFormat="1" x14ac:dyDescent="0.2"/>
    <row r="92" s="36" customFormat="1" x14ac:dyDescent="0.2"/>
    <row r="93" s="36" customFormat="1" x14ac:dyDescent="0.2"/>
    <row r="94" s="36" customFormat="1" x14ac:dyDescent="0.2"/>
    <row r="95" s="36" customFormat="1" x14ac:dyDescent="0.2"/>
    <row r="96" s="36" customFormat="1" x14ac:dyDescent="0.2"/>
    <row r="97" s="36" customFormat="1" x14ac:dyDescent="0.2"/>
    <row r="98" s="36" customFormat="1" x14ac:dyDescent="0.2"/>
    <row r="99" s="36" customFormat="1" x14ac:dyDescent="0.2"/>
    <row r="100" s="36" customFormat="1" x14ac:dyDescent="0.2"/>
    <row r="101" s="36" customFormat="1" x14ac:dyDescent="0.2"/>
    <row r="102" s="36" customFormat="1" x14ac:dyDescent="0.2"/>
    <row r="103" s="36" customFormat="1" x14ac:dyDescent="0.2"/>
    <row r="104" s="36" customFormat="1" x14ac:dyDescent="0.2"/>
    <row r="105" s="36" customFormat="1" x14ac:dyDescent="0.2"/>
    <row r="106" s="36" customFormat="1" x14ac:dyDescent="0.2"/>
    <row r="107" s="36" customFormat="1" x14ac:dyDescent="0.2"/>
    <row r="108" s="36" customFormat="1" x14ac:dyDescent="0.2"/>
    <row r="109" s="36" customFormat="1" x14ac:dyDescent="0.2"/>
    <row r="110" s="36" customFormat="1" x14ac:dyDescent="0.2"/>
    <row r="111" s="36" customFormat="1" x14ac:dyDescent="0.2"/>
    <row r="112" s="36" customFormat="1" x14ac:dyDescent="0.2"/>
    <row r="113" s="36" customFormat="1" x14ac:dyDescent="0.2"/>
    <row r="114" s="36" customFormat="1" x14ac:dyDescent="0.2"/>
    <row r="115" s="36" customFormat="1" x14ac:dyDescent="0.2"/>
    <row r="116" s="36" customFormat="1" x14ac:dyDescent="0.2"/>
    <row r="117" s="36" customFormat="1" x14ac:dyDescent="0.2"/>
    <row r="118" s="36" customFormat="1" x14ac:dyDescent="0.2"/>
    <row r="119" s="36" customFormat="1" x14ac:dyDescent="0.2"/>
    <row r="120" s="36" customFormat="1" x14ac:dyDescent="0.2"/>
    <row r="121" s="36" customFormat="1" x14ac:dyDescent="0.2"/>
    <row r="122" s="36" customFormat="1" x14ac:dyDescent="0.2"/>
    <row r="123" s="36" customFormat="1" x14ac:dyDescent="0.2"/>
    <row r="124" s="36" customFormat="1" x14ac:dyDescent="0.2"/>
    <row r="125" s="36" customFormat="1" x14ac:dyDescent="0.2"/>
    <row r="126" s="36" customFormat="1" x14ac:dyDescent="0.2"/>
    <row r="127" s="36" customFormat="1" x14ac:dyDescent="0.2"/>
    <row r="128" s="36" customFormat="1" x14ac:dyDescent="0.2"/>
    <row r="129" s="36" customFormat="1" x14ac:dyDescent="0.2"/>
    <row r="130" s="36" customFormat="1" x14ac:dyDescent="0.2"/>
    <row r="131" s="36" customFormat="1" x14ac:dyDescent="0.2"/>
    <row r="132" s="36" customFormat="1" x14ac:dyDescent="0.2"/>
    <row r="133" s="36" customFormat="1" x14ac:dyDescent="0.2"/>
    <row r="134" s="36" customFormat="1" x14ac:dyDescent="0.2"/>
    <row r="135" s="36" customFormat="1" x14ac:dyDescent="0.2"/>
    <row r="136" s="36" customFormat="1" x14ac:dyDescent="0.2"/>
    <row r="137" s="36" customFormat="1" x14ac:dyDescent="0.2"/>
    <row r="138" s="36" customFormat="1" x14ac:dyDescent="0.2"/>
    <row r="139" s="36" customFormat="1" x14ac:dyDescent="0.2"/>
    <row r="140" s="36" customFormat="1" x14ac:dyDescent="0.2"/>
    <row r="141" s="36" customFormat="1" x14ac:dyDescent="0.2"/>
    <row r="142" s="36" customFormat="1" x14ac:dyDescent="0.2"/>
    <row r="143" s="36" customFormat="1" x14ac:dyDescent="0.2"/>
    <row r="144" s="36" customFormat="1" x14ac:dyDescent="0.2"/>
    <row r="145" s="36" customFormat="1" x14ac:dyDescent="0.2"/>
    <row r="146" s="36" customFormat="1" x14ac:dyDescent="0.2"/>
    <row r="147" s="36" customFormat="1" x14ac:dyDescent="0.2"/>
    <row r="148" s="36" customFormat="1" x14ac:dyDescent="0.2"/>
    <row r="149" s="36" customFormat="1" x14ac:dyDescent="0.2"/>
    <row r="150" s="36" customFormat="1" x14ac:dyDescent="0.2"/>
    <row r="151" s="36" customFormat="1" x14ac:dyDescent="0.2"/>
    <row r="152" s="36" customFormat="1" x14ac:dyDescent="0.2"/>
    <row r="153" s="36" customFormat="1" x14ac:dyDescent="0.2"/>
    <row r="154" s="36" customFormat="1" x14ac:dyDescent="0.2"/>
    <row r="155" s="36" customFormat="1" x14ac:dyDescent="0.2"/>
    <row r="156" s="36" customFormat="1" x14ac:dyDescent="0.2"/>
    <row r="157" s="36" customFormat="1" x14ac:dyDescent="0.2"/>
    <row r="158" s="36" customFormat="1" x14ac:dyDescent="0.2"/>
    <row r="159" s="36" customFormat="1" x14ac:dyDescent="0.2"/>
    <row r="160" s="36" customFormat="1" x14ac:dyDescent="0.2"/>
    <row r="161" s="36" customFormat="1" x14ac:dyDescent="0.2"/>
    <row r="162" s="36" customFormat="1" x14ac:dyDescent="0.2"/>
    <row r="163" s="36" customFormat="1" x14ac:dyDescent="0.2"/>
    <row r="164" s="36" customFormat="1" x14ac:dyDescent="0.2"/>
    <row r="165" s="36" customFormat="1" x14ac:dyDescent="0.2"/>
    <row r="166" s="36" customFormat="1" x14ac:dyDescent="0.2"/>
    <row r="167" s="36" customFormat="1" x14ac:dyDescent="0.2"/>
    <row r="168" s="36" customFormat="1" x14ac:dyDescent="0.2"/>
    <row r="169" s="36" customFormat="1" x14ac:dyDescent="0.2"/>
    <row r="170" s="36" customFormat="1" x14ac:dyDescent="0.2"/>
    <row r="171" s="36" customFormat="1" x14ac:dyDescent="0.2"/>
    <row r="172" s="36" customFormat="1" x14ac:dyDescent="0.2"/>
    <row r="173" s="36" customFormat="1" x14ac:dyDescent="0.2"/>
    <row r="174" s="36" customFormat="1" x14ac:dyDescent="0.2"/>
    <row r="175" s="36" customFormat="1" x14ac:dyDescent="0.2"/>
    <row r="176" s="36" customFormat="1" x14ac:dyDescent="0.2"/>
    <row r="177" s="36" customFormat="1" x14ac:dyDescent="0.2"/>
    <row r="178" s="36" customFormat="1" x14ac:dyDescent="0.2"/>
    <row r="179" s="36" customFormat="1" x14ac:dyDescent="0.2"/>
    <row r="180" s="36" customFormat="1" x14ac:dyDescent="0.2"/>
    <row r="181" s="36" customFormat="1" x14ac:dyDescent="0.2"/>
    <row r="182" s="36" customFormat="1" x14ac:dyDescent="0.2"/>
    <row r="183" s="36" customFormat="1" x14ac:dyDescent="0.2"/>
    <row r="184" s="36" customFormat="1" x14ac:dyDescent="0.2"/>
    <row r="185" s="36" customFormat="1" x14ac:dyDescent="0.2"/>
    <row r="186" s="36" customFormat="1" x14ac:dyDescent="0.2"/>
    <row r="187" s="36" customFormat="1" x14ac:dyDescent="0.2"/>
    <row r="188" s="36" customFormat="1" x14ac:dyDescent="0.2"/>
    <row r="189" s="36" customFormat="1" x14ac:dyDescent="0.2"/>
    <row r="190" s="36" customFormat="1" x14ac:dyDescent="0.2"/>
    <row r="191" s="36" customFormat="1" x14ac:dyDescent="0.2"/>
    <row r="192" s="36" customFormat="1" x14ac:dyDescent="0.2"/>
    <row r="193" s="36" customFormat="1" x14ac:dyDescent="0.2"/>
    <row r="194" s="36" customFormat="1" x14ac:dyDescent="0.2"/>
    <row r="195" s="36" customFormat="1" x14ac:dyDescent="0.2"/>
    <row r="196" s="36" customFormat="1" x14ac:dyDescent="0.2"/>
    <row r="197" s="36" customFormat="1" x14ac:dyDescent="0.2"/>
    <row r="198" s="36" customFormat="1" x14ac:dyDescent="0.2"/>
    <row r="199" s="36" customFormat="1" x14ac:dyDescent="0.2"/>
    <row r="200" s="36" customFormat="1" x14ac:dyDescent="0.2"/>
    <row r="201" s="36" customFormat="1" x14ac:dyDescent="0.2"/>
    <row r="202" s="36" customFormat="1" x14ac:dyDescent="0.2"/>
    <row r="203" s="36" customFormat="1" x14ac:dyDescent="0.2"/>
    <row r="204" s="36" customFormat="1" x14ac:dyDescent="0.2"/>
  </sheetData>
  <sheetProtection algorithmName="SHA-512" hashValue="/gWFENmgHQum3O4yQh3dX38SucHeukZML+LOTo39w5EEzQSpfTggJrXiczLDETxcAER1Uj1fvy52f/Vj8/azHQ==" saltValue="wYPKG4710jgpc+V6UdVY/Q==" spinCount="100000" sheet="1" objects="1" scenarios="1" selectLockedCells="1" selectUnlockedCells="1"/>
  <mergeCells count="3">
    <mergeCell ref="B4:E4"/>
    <mergeCell ref="B13:C13"/>
    <mergeCell ref="B14:C14"/>
  </mergeCell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opLeftCell="A2" workbookViewId="0">
      <selection activeCell="E21" sqref="E21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2" t="s">
        <v>47</v>
      </c>
      <c r="C4" s="143"/>
      <c r="D4" s="143"/>
      <c r="E4" s="144"/>
      <c r="F4" s="17" t="s">
        <v>0</v>
      </c>
      <c r="G4" s="17" t="s">
        <v>48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0.1</v>
      </c>
      <c r="F5" s="13" t="str">
        <f>IF(D$16&gt;=B5,IF(D$16&lt;=D5,((D$16-B5)*E5)+C5," ")," ")</f>
        <v xml:space="preserve"> </v>
      </c>
      <c r="G5" s="13">
        <f>IF(D$17&gt;=B5,IF(D$17&lt;=D5,((D$17-B5)*E5)+C5," ")," ")</f>
        <v>555</v>
      </c>
    </row>
    <row r="6" spans="2:7" s="12" customFormat="1" x14ac:dyDescent="0.2">
      <c r="B6" s="4">
        <v>12450</v>
      </c>
      <c r="C6" s="8">
        <v>1245</v>
      </c>
      <c r="D6" s="3">
        <f t="shared" ref="D6:D11" si="0">B7</f>
        <v>20200</v>
      </c>
      <c r="E6" s="10">
        <v>0.12</v>
      </c>
      <c r="F6" s="13" t="str">
        <f>IF(D$16&gt;=B6,IF(D$16&lt;=D6,((D$16-B6)*E6)+C6," ")," ")</f>
        <v xml:space="preserve"> </v>
      </c>
      <c r="G6" s="13" t="str">
        <f t="shared" ref="G6:G12" si="1">IF(D$17&gt;=B6,IF(D$17&lt;=D6,((D$17-B6)*E6)+C6," ")," ")</f>
        <v xml:space="preserve"> </v>
      </c>
    </row>
    <row r="7" spans="2:7" s="12" customFormat="1" x14ac:dyDescent="0.2">
      <c r="B7" s="4">
        <v>20200</v>
      </c>
      <c r="C7" s="8">
        <v>2175</v>
      </c>
      <c r="D7" s="3">
        <f t="shared" si="0"/>
        <v>28000</v>
      </c>
      <c r="E7" s="10">
        <v>0.15</v>
      </c>
      <c r="F7" s="13">
        <f>IF(D$16&gt;=B7,IF(D$16&lt;=D7,((D$16-B7)*E7)+C7," ")," ")</f>
        <v>2356.875</v>
      </c>
      <c r="G7" s="13" t="str">
        <f t="shared" si="1"/>
        <v xml:space="preserve"> </v>
      </c>
    </row>
    <row r="8" spans="2:7" s="12" customFormat="1" x14ac:dyDescent="0.2">
      <c r="B8" s="4">
        <v>28000</v>
      </c>
      <c r="C8" s="8">
        <v>3345</v>
      </c>
      <c r="D8" s="3">
        <f t="shared" si="0"/>
        <v>35200</v>
      </c>
      <c r="E8" s="10">
        <v>0.16500000000000001</v>
      </c>
      <c r="F8" s="13" t="str">
        <f t="shared" ref="F8:F12" si="2">IF(D$16&gt;=B8,IF(D$16&lt;=D8,((D$16-B8)*E8)+C8," ")," ")</f>
        <v xml:space="preserve"> </v>
      </c>
      <c r="G8" s="13" t="str">
        <f t="shared" si="1"/>
        <v xml:space="preserve"> </v>
      </c>
    </row>
    <row r="9" spans="2:7" s="12" customFormat="1" x14ac:dyDescent="0.2">
      <c r="B9" s="4">
        <v>35200</v>
      </c>
      <c r="C9" s="8">
        <v>4533</v>
      </c>
      <c r="D9" s="3">
        <f t="shared" si="0"/>
        <v>50000</v>
      </c>
      <c r="E9" s="10">
        <v>0.19</v>
      </c>
      <c r="F9" s="13" t="str">
        <f t="shared" si="2"/>
        <v xml:space="preserve"> </v>
      </c>
      <c r="G9" s="13" t="str">
        <f t="shared" si="1"/>
        <v xml:space="preserve"> </v>
      </c>
    </row>
    <row r="10" spans="2:7" s="12" customFormat="1" x14ac:dyDescent="0.2">
      <c r="B10" s="4">
        <v>50000</v>
      </c>
      <c r="C10" s="8">
        <v>7345</v>
      </c>
      <c r="D10" s="3">
        <f t="shared" si="0"/>
        <v>60000</v>
      </c>
      <c r="E10" s="10">
        <v>0.19500000000000001</v>
      </c>
      <c r="F10" s="13" t="str">
        <f t="shared" si="2"/>
        <v xml:space="preserve"> </v>
      </c>
      <c r="G10" s="13" t="str">
        <f t="shared" si="1"/>
        <v xml:space="preserve"> </v>
      </c>
    </row>
    <row r="11" spans="2:7" s="12" customFormat="1" x14ac:dyDescent="0.2">
      <c r="B11" s="4">
        <v>60000</v>
      </c>
      <c r="C11" s="8">
        <v>9295</v>
      </c>
      <c r="D11" s="3">
        <f t="shared" si="0"/>
        <v>120000</v>
      </c>
      <c r="E11" s="10">
        <v>0.23499999999999999</v>
      </c>
      <c r="F11" s="13" t="str">
        <f t="shared" si="2"/>
        <v xml:space="preserve"> </v>
      </c>
      <c r="G11" s="13" t="str">
        <f t="shared" si="1"/>
        <v xml:space="preserve"> </v>
      </c>
    </row>
    <row r="12" spans="2:7" s="12" customFormat="1" ht="15.75" thickBot="1" x14ac:dyDescent="0.25">
      <c r="B12" s="5">
        <v>120000</v>
      </c>
      <c r="C12" s="9">
        <v>23395</v>
      </c>
      <c r="D12" s="21">
        <v>10000000000</v>
      </c>
      <c r="E12" s="11">
        <v>0.255</v>
      </c>
      <c r="F12" s="13" t="str">
        <f t="shared" si="2"/>
        <v xml:space="preserve"> </v>
      </c>
      <c r="G12" s="13" t="str">
        <f t="shared" si="1"/>
        <v xml:space="preserve"> </v>
      </c>
    </row>
    <row r="13" spans="2:7" s="12" customFormat="1" ht="16.5" thickTop="1" thickBot="1" x14ac:dyDescent="0.25"/>
    <row r="14" spans="2:7" s="12" customFormat="1" ht="20.25" thickBot="1" x14ac:dyDescent="0.25">
      <c r="F14" s="14">
        <f>SUM(F5:F12)</f>
        <v>2356.875</v>
      </c>
      <c r="G14" s="15">
        <f>SUM(G5:G12)</f>
        <v>555</v>
      </c>
    </row>
    <row r="15" spans="2:7" s="12" customFormat="1" ht="15.75" thickBot="1" x14ac:dyDescent="0.25"/>
    <row r="16" spans="2:7" s="12" customFormat="1" ht="25.5" thickBot="1" x14ac:dyDescent="0.25">
      <c r="B16" s="141" t="s">
        <v>45</v>
      </c>
      <c r="C16" s="141"/>
      <c r="D16" s="18">
        <f>'RN y MPF'!B10</f>
        <v>21412.5</v>
      </c>
      <c r="F16" s="20">
        <f>F14-G14</f>
        <v>1801.875</v>
      </c>
    </row>
    <row r="17" spans="2:4" s="12" customFormat="1" ht="18.95" customHeight="1" x14ac:dyDescent="0.2">
      <c r="B17" s="141" t="s">
        <v>46</v>
      </c>
      <c r="C17" s="141"/>
      <c r="D17" s="19">
        <f>'RN y MPF'!F29</f>
        <v>5550</v>
      </c>
    </row>
    <row r="18" spans="2:4" s="12" customFormat="1" x14ac:dyDescent="0.2"/>
    <row r="19" spans="2:4" s="12" customFormat="1" x14ac:dyDescent="0.2"/>
    <row r="20" spans="2:4" s="12" customFormat="1" x14ac:dyDescent="0.2"/>
    <row r="21" spans="2:4" s="12" customFormat="1" x14ac:dyDescent="0.2"/>
    <row r="22" spans="2:4" s="12" customFormat="1" x14ac:dyDescent="0.2"/>
    <row r="23" spans="2:4" s="12" customFormat="1" x14ac:dyDescent="0.2"/>
    <row r="24" spans="2:4" s="12" customFormat="1" x14ac:dyDescent="0.2"/>
    <row r="25" spans="2:4" s="12" customFormat="1" x14ac:dyDescent="0.2"/>
    <row r="26" spans="2:4" s="12" customFormat="1" x14ac:dyDescent="0.2"/>
    <row r="27" spans="2:4" s="12" customFormat="1" x14ac:dyDescent="0.2"/>
    <row r="28" spans="2:4" s="12" customFormat="1" x14ac:dyDescent="0.2"/>
    <row r="29" spans="2:4" s="12" customFormat="1" x14ac:dyDescent="0.2"/>
    <row r="30" spans="2:4" s="12" customFormat="1" x14ac:dyDescent="0.2"/>
    <row r="31" spans="2:4" s="12" customFormat="1" x14ac:dyDescent="0.2"/>
  </sheetData>
  <sheetProtection algorithmName="SHA-512" hashValue="DnWR/JLYe2lz2BF/xA1idtVI8iOE+znjGwP5ov2Oe0LUrgy+YWZnXeClKvz+Y8g0twyAWUUf7Lxf5dMipKR9UQ==" saltValue="eFDs8RRHVbBGubJ3MsnN9g==" spinCount="100000" sheet="1" objects="1" scenarios="1" selectLockedCells="1" selectUnlockedCells="1"/>
  <mergeCells count="3">
    <mergeCell ref="B4:E4"/>
    <mergeCell ref="B16:C16"/>
    <mergeCell ref="B17:C17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workbookViewId="0">
      <selection activeCell="F18" sqref="F18"/>
    </sheetView>
  </sheetViews>
  <sheetFormatPr baseColWidth="10" defaultColWidth="10.875" defaultRowHeight="15" x14ac:dyDescent="0.2"/>
  <cols>
    <col min="1" max="1" width="4.1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2" t="s">
        <v>52</v>
      </c>
      <c r="C4" s="143"/>
      <c r="D4" s="143"/>
      <c r="E4" s="144"/>
      <c r="F4" s="17" t="s">
        <v>0</v>
      </c>
      <c r="G4" s="17" t="s">
        <v>53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0.1</v>
      </c>
      <c r="F5" s="13" t="str">
        <f>IF(D$18&gt;=B5,IF(D$18&lt;=D5,((D$18-B5)*E5)+C5," ")," ")</f>
        <v xml:space="preserve"> </v>
      </c>
      <c r="G5" s="13">
        <f>IF(D$19&gt;=B5,IF(D$19&lt;=D5,((D$19-B5)*E5)+C5," ")," ")</f>
        <v>555</v>
      </c>
    </row>
    <row r="6" spans="2:7" s="12" customFormat="1" x14ac:dyDescent="0.2">
      <c r="B6" s="4">
        <v>12450</v>
      </c>
      <c r="C6" s="8">
        <v>1245</v>
      </c>
      <c r="D6" s="3">
        <f t="shared" ref="D6:D13" si="0">B7</f>
        <v>20200</v>
      </c>
      <c r="E6" s="10">
        <v>0.125</v>
      </c>
      <c r="F6" s="13" t="str">
        <f t="shared" ref="F6:F14" si="1">IF(D$18&gt;=B6,IF(D$18&lt;=D6,((D$18-B6)*E6)+C6," ")," ")</f>
        <v xml:space="preserve"> </v>
      </c>
      <c r="G6" s="13" t="str">
        <f t="shared" ref="G6:G14" si="2">IF(D$19&gt;=B6,IF(D$19&lt;=D6,((D$19-B6)*E6)+C6," ")," ")</f>
        <v xml:space="preserve"> </v>
      </c>
    </row>
    <row r="7" spans="2:7" s="12" customFormat="1" x14ac:dyDescent="0.2">
      <c r="B7" s="4">
        <v>20200</v>
      </c>
      <c r="C7" s="8">
        <v>2213.75</v>
      </c>
      <c r="D7" s="3">
        <f t="shared" si="0"/>
        <v>34000</v>
      </c>
      <c r="E7" s="10">
        <v>0.155</v>
      </c>
      <c r="F7" s="13">
        <f t="shared" si="1"/>
        <v>2401.6875</v>
      </c>
      <c r="G7" s="13" t="str">
        <f t="shared" si="2"/>
        <v xml:space="preserve"> </v>
      </c>
    </row>
    <row r="8" spans="2:7" s="12" customFormat="1" x14ac:dyDescent="0.2">
      <c r="B8" s="4">
        <v>34000</v>
      </c>
      <c r="C8" s="8">
        <v>4352.75</v>
      </c>
      <c r="D8" s="3">
        <f t="shared" si="0"/>
        <v>50000</v>
      </c>
      <c r="E8" s="10">
        <v>0.19</v>
      </c>
      <c r="F8" s="13" t="str">
        <f t="shared" si="1"/>
        <v xml:space="preserve"> </v>
      </c>
      <c r="G8" s="13" t="str">
        <f t="shared" si="2"/>
        <v xml:space="preserve"> </v>
      </c>
    </row>
    <row r="9" spans="2:7" s="12" customFormat="1" x14ac:dyDescent="0.2">
      <c r="B9" s="4">
        <v>50000</v>
      </c>
      <c r="C9" s="8">
        <v>7392.75</v>
      </c>
      <c r="D9" s="3">
        <f t="shared" si="0"/>
        <v>60000</v>
      </c>
      <c r="E9" s="10">
        <v>0.21</v>
      </c>
      <c r="F9" s="13" t="str">
        <f t="shared" si="1"/>
        <v xml:space="preserve"> </v>
      </c>
      <c r="G9" s="13" t="str">
        <f t="shared" si="2"/>
        <v xml:space="preserve"> </v>
      </c>
    </row>
    <row r="10" spans="2:7" s="12" customFormat="1" x14ac:dyDescent="0.2">
      <c r="B10" s="4">
        <v>60000</v>
      </c>
      <c r="C10" s="8">
        <v>9492.75</v>
      </c>
      <c r="D10" s="3">
        <f t="shared" si="0"/>
        <v>70000</v>
      </c>
      <c r="E10" s="10">
        <v>0.22</v>
      </c>
      <c r="F10" s="13" t="str">
        <f t="shared" si="1"/>
        <v xml:space="preserve"> </v>
      </c>
      <c r="G10" s="13" t="str">
        <f t="shared" si="2"/>
        <v xml:space="preserve"> </v>
      </c>
    </row>
    <row r="11" spans="2:7" s="12" customFormat="1" x14ac:dyDescent="0.2">
      <c r="B11" s="4">
        <v>70000</v>
      </c>
      <c r="C11" s="8">
        <v>11692.75</v>
      </c>
      <c r="D11" s="3">
        <f t="shared" si="0"/>
        <v>90000</v>
      </c>
      <c r="E11" s="10">
        <v>0.22500000000000001</v>
      </c>
      <c r="F11" s="13" t="str">
        <f t="shared" si="1"/>
        <v xml:space="preserve"> </v>
      </c>
      <c r="G11" s="13" t="str">
        <f t="shared" si="2"/>
        <v xml:space="preserve"> </v>
      </c>
    </row>
    <row r="12" spans="2:7" s="12" customFormat="1" x14ac:dyDescent="0.2">
      <c r="B12" s="4">
        <v>90000</v>
      </c>
      <c r="C12" s="8">
        <v>16192.75</v>
      </c>
      <c r="D12" s="3">
        <f t="shared" si="0"/>
        <v>130000</v>
      </c>
      <c r="E12" s="10">
        <v>0.23499999999999999</v>
      </c>
      <c r="F12" s="13" t="str">
        <f t="shared" si="1"/>
        <v xml:space="preserve"> </v>
      </c>
      <c r="G12" s="13" t="str">
        <f t="shared" si="2"/>
        <v xml:space="preserve"> </v>
      </c>
    </row>
    <row r="13" spans="2:7" s="12" customFormat="1" x14ac:dyDescent="0.2">
      <c r="B13" s="4">
        <v>130000</v>
      </c>
      <c r="C13" s="8">
        <v>25592.75</v>
      </c>
      <c r="D13" s="3">
        <f t="shared" si="0"/>
        <v>150000</v>
      </c>
      <c r="E13" s="10">
        <v>0.245</v>
      </c>
      <c r="F13" s="13" t="str">
        <f t="shared" si="1"/>
        <v xml:space="preserve"> </v>
      </c>
      <c r="G13" s="13" t="str">
        <f t="shared" si="2"/>
        <v xml:space="preserve"> </v>
      </c>
    </row>
    <row r="14" spans="2:7" s="12" customFormat="1" ht="15.75" thickBot="1" x14ac:dyDescent="0.25">
      <c r="B14" s="5">
        <v>150000</v>
      </c>
      <c r="C14" s="9">
        <v>30492.75</v>
      </c>
      <c r="D14" s="21">
        <v>10000000000</v>
      </c>
      <c r="E14" s="11">
        <v>0.25</v>
      </c>
      <c r="F14" s="13" t="str">
        <f t="shared" si="1"/>
        <v xml:space="preserve"> </v>
      </c>
      <c r="G14" s="13" t="str">
        <f t="shared" si="2"/>
        <v xml:space="preserve"> </v>
      </c>
    </row>
    <row r="15" spans="2:7" s="12" customFormat="1" ht="16.5" thickTop="1" thickBot="1" x14ac:dyDescent="0.25"/>
    <row r="16" spans="2:7" s="12" customFormat="1" ht="20.25" thickBot="1" x14ac:dyDescent="0.25">
      <c r="F16" s="14">
        <f>SUM(F5:F14)</f>
        <v>2401.6875</v>
      </c>
      <c r="G16" s="15">
        <f>SUM(G5:G14)</f>
        <v>555</v>
      </c>
    </row>
    <row r="17" spans="2:6" s="12" customFormat="1" ht="15.75" thickBot="1" x14ac:dyDescent="0.25"/>
    <row r="18" spans="2:6" s="12" customFormat="1" ht="25.5" thickBot="1" x14ac:dyDescent="0.25">
      <c r="B18" s="141" t="s">
        <v>45</v>
      </c>
      <c r="C18" s="141"/>
      <c r="D18" s="18">
        <f>'RN y MPF'!B10</f>
        <v>21412.5</v>
      </c>
      <c r="F18" s="20">
        <f>F16-G16</f>
        <v>1846.6875</v>
      </c>
    </row>
    <row r="19" spans="2:6" s="12" customFormat="1" ht="18.95" customHeight="1" x14ac:dyDescent="0.2">
      <c r="B19" s="141" t="s">
        <v>46</v>
      </c>
      <c r="C19" s="141"/>
      <c r="D19" s="19">
        <f>'RN y MPF'!F29</f>
        <v>5550</v>
      </c>
    </row>
    <row r="20" spans="2:6" s="12" customFormat="1" x14ac:dyDescent="0.2"/>
    <row r="21" spans="2:6" s="12" customFormat="1" x14ac:dyDescent="0.2"/>
    <row r="22" spans="2:6" s="12" customFormat="1" x14ac:dyDescent="0.2"/>
    <row r="23" spans="2:6" s="12" customFormat="1" x14ac:dyDescent="0.2"/>
    <row r="24" spans="2:6" s="12" customFormat="1" x14ac:dyDescent="0.2"/>
    <row r="25" spans="2:6" s="12" customFormat="1" x14ac:dyDescent="0.2"/>
    <row r="26" spans="2:6" s="12" customFormat="1" x14ac:dyDescent="0.2"/>
    <row r="27" spans="2:6" s="12" customFormat="1" x14ac:dyDescent="0.2"/>
    <row r="28" spans="2:6" s="12" customFormat="1" x14ac:dyDescent="0.2"/>
    <row r="29" spans="2:6" s="12" customFormat="1" x14ac:dyDescent="0.2"/>
    <row r="30" spans="2:6" s="12" customFormat="1" x14ac:dyDescent="0.2"/>
    <row r="31" spans="2:6" s="12" customFormat="1" x14ac:dyDescent="0.2"/>
    <row r="32" spans="2:6" s="12" customFormat="1" x14ac:dyDescent="0.2"/>
    <row r="33" s="12" customFormat="1" x14ac:dyDescent="0.2"/>
  </sheetData>
  <sheetProtection algorithmName="SHA-512" hashValue="CSGM/k/eENWTngNORPjzJYxOs2K+jgig3objs64oLebAnmaN5QRlwpm0t33Ea7BRQPkPudNpqylUREtz2Py+Xw==" saltValue="UtGbJllDDi1fpwOwqGWBrg==" spinCount="100000" sheet="1" objects="1" scenarios="1"/>
  <mergeCells count="3">
    <mergeCell ref="B4:E4"/>
    <mergeCell ref="B18:C18"/>
    <mergeCell ref="B19:C19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workbookViewId="0">
      <selection activeCell="D24" sqref="D24"/>
    </sheetView>
  </sheetViews>
  <sheetFormatPr baseColWidth="10" defaultColWidth="10.875" defaultRowHeight="15" x14ac:dyDescent="0.2"/>
  <cols>
    <col min="1" max="1" width="4.1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2" t="s">
        <v>65</v>
      </c>
      <c r="C4" s="143"/>
      <c r="D4" s="143"/>
      <c r="E4" s="144"/>
      <c r="F4" s="17" t="s">
        <v>0</v>
      </c>
      <c r="G4" s="17" t="s">
        <v>64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0.1</v>
      </c>
      <c r="F5" s="13" t="str">
        <f>IF(D$16&gt;=B5,IF(D$16&lt;=D5,((D$16-B5)*E5)+C5," ")," ")</f>
        <v xml:space="preserve"> </v>
      </c>
      <c r="G5" s="13">
        <f>IF(D$17&gt;=B5,IF(D$17&lt;=D5,((D$17-B5)*E5)+C5," ")," ")</f>
        <v>555</v>
      </c>
    </row>
    <row r="6" spans="2:7" s="12" customFormat="1" x14ac:dyDescent="0.2">
      <c r="B6" s="4">
        <v>12450</v>
      </c>
      <c r="C6" s="8">
        <v>1245</v>
      </c>
      <c r="D6" s="3">
        <f>B7</f>
        <v>17707.2</v>
      </c>
      <c r="E6" s="10">
        <v>0.12</v>
      </c>
      <c r="F6" s="13" t="str">
        <f>IF(D$16&gt;=B6,IF(D$16&lt;=D6,((D$16-B6)*E6)+C6," ")," ")</f>
        <v xml:space="preserve"> </v>
      </c>
      <c r="G6" s="13" t="str">
        <f t="shared" ref="G6:G12" si="0">IF(D$17&gt;=B6,IF(D$17&lt;=D6,((D$17-B6)*E6)+C6," ")," ")</f>
        <v xml:space="preserve"> </v>
      </c>
    </row>
    <row r="7" spans="2:7" s="12" customFormat="1" x14ac:dyDescent="0.2">
      <c r="B7" s="4">
        <v>17707.2</v>
      </c>
      <c r="C7" s="8">
        <v>1875.86</v>
      </c>
      <c r="D7" s="3">
        <f t="shared" ref="D7:D11" si="1">B8</f>
        <v>33007.199999999997</v>
      </c>
      <c r="E7" s="10">
        <v>0.14000000000000001</v>
      </c>
      <c r="F7" s="13">
        <f t="shared" ref="F7:F12" si="2">IF(D$16&gt;=B7,IF(D$16&lt;=D7,((D$16-B7)*E7)+C7," ")," ")</f>
        <v>2394.6019999999999</v>
      </c>
      <c r="G7" s="13" t="str">
        <f t="shared" si="0"/>
        <v xml:space="preserve"> </v>
      </c>
    </row>
    <row r="8" spans="2:7" s="12" customFormat="1" x14ac:dyDescent="0.2">
      <c r="B8" s="4">
        <v>33007.199999999997</v>
      </c>
      <c r="C8" s="8">
        <v>4017.86</v>
      </c>
      <c r="D8" s="3">
        <f t="shared" si="1"/>
        <v>53407.199999999997</v>
      </c>
      <c r="E8" s="10">
        <v>0.185</v>
      </c>
      <c r="F8" s="13" t="str">
        <f t="shared" si="2"/>
        <v xml:space="preserve"> </v>
      </c>
      <c r="G8" s="13" t="str">
        <f t="shared" si="0"/>
        <v xml:space="preserve"> </v>
      </c>
    </row>
    <row r="9" spans="2:7" s="12" customFormat="1" x14ac:dyDescent="0.2">
      <c r="B9" s="4">
        <v>53407.199999999997</v>
      </c>
      <c r="C9" s="8">
        <v>7791.86</v>
      </c>
      <c r="D9" s="3">
        <f t="shared" si="1"/>
        <v>70000</v>
      </c>
      <c r="E9" s="10">
        <v>0.215</v>
      </c>
      <c r="F9" s="13" t="str">
        <f t="shared" si="2"/>
        <v xml:space="preserve"> </v>
      </c>
      <c r="G9" s="13" t="str">
        <f t="shared" si="0"/>
        <v xml:space="preserve"> </v>
      </c>
    </row>
    <row r="10" spans="2:7" s="12" customFormat="1" x14ac:dyDescent="0.2">
      <c r="B10" s="4">
        <v>70000</v>
      </c>
      <c r="C10" s="8">
        <v>11359.32</v>
      </c>
      <c r="D10" s="3">
        <f t="shared" si="1"/>
        <v>90000</v>
      </c>
      <c r="E10" s="10">
        <v>0.22500000000000001</v>
      </c>
      <c r="F10" s="13" t="str">
        <f t="shared" si="2"/>
        <v xml:space="preserve"> </v>
      </c>
      <c r="G10" s="13" t="str">
        <f t="shared" si="0"/>
        <v xml:space="preserve"> </v>
      </c>
    </row>
    <row r="11" spans="2:7" s="12" customFormat="1" x14ac:dyDescent="0.2">
      <c r="B11" s="4">
        <v>90000</v>
      </c>
      <c r="C11" s="8">
        <v>15859.32</v>
      </c>
      <c r="D11" s="3">
        <f t="shared" si="1"/>
        <v>175000</v>
      </c>
      <c r="E11" s="10">
        <v>0.25</v>
      </c>
      <c r="F11" s="13" t="str">
        <f t="shared" si="2"/>
        <v xml:space="preserve"> </v>
      </c>
      <c r="G11" s="13" t="str">
        <f t="shared" si="0"/>
        <v xml:space="preserve"> </v>
      </c>
    </row>
    <row r="12" spans="2:7" s="12" customFormat="1" ht="15.75" thickBot="1" x14ac:dyDescent="0.25">
      <c r="B12" s="5">
        <v>175000</v>
      </c>
      <c r="C12" s="9">
        <v>37109.32</v>
      </c>
      <c r="D12" s="21">
        <v>10000000000</v>
      </c>
      <c r="E12" s="11">
        <v>0.255</v>
      </c>
      <c r="F12" s="13" t="str">
        <f t="shared" si="2"/>
        <v xml:space="preserve"> </v>
      </c>
      <c r="G12" s="13" t="str">
        <f t="shared" si="0"/>
        <v xml:space="preserve"> </v>
      </c>
    </row>
    <row r="13" spans="2:7" s="12" customFormat="1" ht="16.5" thickTop="1" thickBot="1" x14ac:dyDescent="0.25"/>
    <row r="14" spans="2:7" s="12" customFormat="1" ht="20.25" thickBot="1" x14ac:dyDescent="0.25">
      <c r="F14" s="14">
        <f>SUM(F5:F12)</f>
        <v>2394.6019999999999</v>
      </c>
      <c r="G14" s="15">
        <f>SUM(G5:G12)</f>
        <v>555</v>
      </c>
    </row>
    <row r="15" spans="2:7" s="12" customFormat="1" ht="15.75" thickBot="1" x14ac:dyDescent="0.25"/>
    <row r="16" spans="2:7" s="12" customFormat="1" ht="25.5" thickBot="1" x14ac:dyDescent="0.25">
      <c r="B16" s="141" t="s">
        <v>45</v>
      </c>
      <c r="C16" s="141"/>
      <c r="D16" s="18">
        <f>'RN y MPF'!B10</f>
        <v>21412.5</v>
      </c>
      <c r="F16" s="20">
        <f>F14-G14</f>
        <v>1839.6019999999999</v>
      </c>
    </row>
    <row r="17" spans="2:4" s="12" customFormat="1" ht="18.95" customHeight="1" x14ac:dyDescent="0.2">
      <c r="B17" s="141" t="s">
        <v>46</v>
      </c>
      <c r="C17" s="141"/>
      <c r="D17" s="19">
        <f>'RN y MPF'!F29</f>
        <v>5550</v>
      </c>
    </row>
    <row r="18" spans="2:4" s="12" customFormat="1" x14ac:dyDescent="0.2"/>
    <row r="19" spans="2:4" s="12" customFormat="1" x14ac:dyDescent="0.2"/>
    <row r="20" spans="2:4" s="12" customFormat="1" x14ac:dyDescent="0.2"/>
    <row r="21" spans="2:4" s="12" customFormat="1" x14ac:dyDescent="0.2"/>
    <row r="22" spans="2:4" s="12" customFormat="1" x14ac:dyDescent="0.2"/>
    <row r="23" spans="2:4" s="12" customFormat="1" x14ac:dyDescent="0.2"/>
    <row r="24" spans="2:4" s="12" customFormat="1" x14ac:dyDescent="0.2"/>
    <row r="25" spans="2:4" s="12" customFormat="1" x14ac:dyDescent="0.2"/>
    <row r="26" spans="2:4" s="12" customFormat="1" x14ac:dyDescent="0.2"/>
    <row r="27" spans="2:4" s="12" customFormat="1" x14ac:dyDescent="0.2"/>
    <row r="28" spans="2:4" s="12" customFormat="1" x14ac:dyDescent="0.2"/>
    <row r="29" spans="2:4" s="12" customFormat="1" x14ac:dyDescent="0.2"/>
    <row r="30" spans="2:4" s="12" customFormat="1" x14ac:dyDescent="0.2"/>
    <row r="31" spans="2:4" s="12" customFormat="1" x14ac:dyDescent="0.2"/>
  </sheetData>
  <sheetProtection algorithmName="SHA-512" hashValue="Oxx6DhDvtIopfrCoJxUmSpX2amuR7XrEi1NkPDJw36Wq+UuQlPNXtcA5srK1guzlBwlquk3WHybyazHOgUIPJQ==" saltValue="7maes55KLEE5Mlda9mU1qA==" spinCount="100000" sheet="1" objects="1" scenarios="1"/>
  <mergeCells count="3">
    <mergeCell ref="B4:E4"/>
    <mergeCell ref="B16:C16"/>
    <mergeCell ref="B17:C17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>
      <selection activeCell="G24" sqref="G24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5" t="s">
        <v>55</v>
      </c>
      <c r="C4" s="143"/>
      <c r="D4" s="143"/>
      <c r="E4" s="144"/>
      <c r="F4" s="17" t="s">
        <v>0</v>
      </c>
      <c r="G4" s="32" t="s">
        <v>54</v>
      </c>
    </row>
    <row r="5" spans="2:7" s="12" customFormat="1" x14ac:dyDescent="0.2">
      <c r="B5" s="4">
        <v>0</v>
      </c>
      <c r="C5" s="8">
        <v>0</v>
      </c>
      <c r="D5" s="3">
        <f>B6</f>
        <v>10000</v>
      </c>
      <c r="E5" s="10">
        <v>9.5000000000000001E-2</v>
      </c>
      <c r="F5" s="13" t="str">
        <f>IF(D$17&gt;=B5,IF(D$17&lt;=D5,((D$17-B5)*E5)+C5," ")," ")</f>
        <v xml:space="preserve"> </v>
      </c>
      <c r="G5" s="13">
        <f>IF(D$18&gt;=B5,IF(D$18&lt;=D5,((D$18-B5)*E5)+C5," ")," ")</f>
        <v>527.25</v>
      </c>
    </row>
    <row r="6" spans="2:7" s="12" customFormat="1" x14ac:dyDescent="0.2">
      <c r="B6" s="4">
        <v>10000</v>
      </c>
      <c r="C6" s="8">
        <v>950</v>
      </c>
      <c r="D6" s="3">
        <f t="shared" ref="D6:D12" si="0">B7</f>
        <v>18000</v>
      </c>
      <c r="E6" s="10">
        <v>0.11749999999999999</v>
      </c>
      <c r="F6" s="13" t="str">
        <f t="shared" ref="F6:F13" si="1">IF(D$17&gt;=B6,IF(D$17&lt;=D6,((D$17-B6)*E6)+C6," ")," ")</f>
        <v xml:space="preserve"> </v>
      </c>
      <c r="G6" s="13" t="str">
        <f t="shared" ref="G6:G13" si="2">IF(D$18&gt;=B6,IF(D$18&lt;=D6,((D$18-B6)*E6)+C6," ")," ")</f>
        <v xml:space="preserve"> </v>
      </c>
    </row>
    <row r="7" spans="2:7" s="12" customFormat="1" x14ac:dyDescent="0.2">
      <c r="B7" s="4">
        <v>18000</v>
      </c>
      <c r="C7" s="8">
        <v>1890</v>
      </c>
      <c r="D7" s="3">
        <f t="shared" si="0"/>
        <v>30000</v>
      </c>
      <c r="E7" s="10">
        <v>0.14749999999999999</v>
      </c>
      <c r="F7" s="13">
        <f t="shared" si="1"/>
        <v>2393.34375</v>
      </c>
      <c r="G7" s="13" t="str">
        <f t="shared" si="2"/>
        <v xml:space="preserve"> </v>
      </c>
    </row>
    <row r="8" spans="2:7" s="12" customFormat="1" x14ac:dyDescent="0.2">
      <c r="B8" s="4">
        <v>30000</v>
      </c>
      <c r="C8" s="8">
        <v>3660</v>
      </c>
      <c r="D8" s="3">
        <f t="shared" si="0"/>
        <v>48000</v>
      </c>
      <c r="E8" s="10">
        <v>0.17749999999999999</v>
      </c>
      <c r="F8" s="13" t="str">
        <f t="shared" si="1"/>
        <v xml:space="preserve"> </v>
      </c>
      <c r="G8" s="13" t="str">
        <f t="shared" si="2"/>
        <v xml:space="preserve"> </v>
      </c>
    </row>
    <row r="9" spans="2:7" s="12" customFormat="1" x14ac:dyDescent="0.2">
      <c r="B9" s="4">
        <v>48000</v>
      </c>
      <c r="C9" s="8">
        <v>6855</v>
      </c>
      <c r="D9" s="3">
        <f t="shared" si="0"/>
        <v>70000</v>
      </c>
      <c r="E9" s="10">
        <v>0.1925</v>
      </c>
      <c r="F9" s="13" t="str">
        <f t="shared" si="1"/>
        <v xml:space="preserve"> </v>
      </c>
      <c r="G9" s="13" t="str">
        <f t="shared" si="2"/>
        <v xml:space="preserve"> </v>
      </c>
    </row>
    <row r="10" spans="2:7" s="12" customFormat="1" x14ac:dyDescent="0.2">
      <c r="B10" s="4">
        <v>70000</v>
      </c>
      <c r="C10" s="8">
        <v>11090</v>
      </c>
      <c r="D10" s="3">
        <f t="shared" si="0"/>
        <v>90000</v>
      </c>
      <c r="E10" s="10">
        <v>0.22</v>
      </c>
      <c r="F10" s="13" t="str">
        <f t="shared" si="1"/>
        <v xml:space="preserve"> </v>
      </c>
      <c r="G10" s="13" t="str">
        <f t="shared" si="2"/>
        <v xml:space="preserve"> </v>
      </c>
    </row>
    <row r="11" spans="2:7" s="12" customFormat="1" x14ac:dyDescent="0.2">
      <c r="B11" s="4">
        <v>90000</v>
      </c>
      <c r="C11" s="8">
        <v>15490</v>
      </c>
      <c r="D11" s="3">
        <f t="shared" si="0"/>
        <v>120000</v>
      </c>
      <c r="E11" s="10">
        <v>0.23</v>
      </c>
      <c r="F11" s="13" t="str">
        <f t="shared" si="1"/>
        <v xml:space="preserve"> </v>
      </c>
      <c r="G11" s="13" t="str">
        <f t="shared" si="2"/>
        <v xml:space="preserve"> </v>
      </c>
    </row>
    <row r="12" spans="2:7" s="12" customFormat="1" x14ac:dyDescent="0.2">
      <c r="B12" s="4">
        <v>120000</v>
      </c>
      <c r="C12" s="8">
        <v>22390</v>
      </c>
      <c r="D12" s="3">
        <f t="shared" si="0"/>
        <v>175000</v>
      </c>
      <c r="E12" s="10">
        <v>0.24</v>
      </c>
      <c r="F12" s="13" t="str">
        <f t="shared" si="1"/>
        <v xml:space="preserve"> </v>
      </c>
      <c r="G12" s="13" t="str">
        <f t="shared" si="2"/>
        <v xml:space="preserve"> </v>
      </c>
    </row>
    <row r="13" spans="2:7" s="12" customFormat="1" ht="15.75" thickBot="1" x14ac:dyDescent="0.25">
      <c r="B13" s="5">
        <v>175000</v>
      </c>
      <c r="C13" s="9">
        <v>35590</v>
      </c>
      <c r="D13" s="21">
        <v>10000000000</v>
      </c>
      <c r="E13" s="11">
        <v>0.25</v>
      </c>
      <c r="F13" s="13" t="str">
        <f t="shared" si="1"/>
        <v xml:space="preserve"> </v>
      </c>
      <c r="G13" s="13" t="str">
        <f t="shared" si="2"/>
        <v xml:space="preserve"> </v>
      </c>
    </row>
    <row r="14" spans="2:7" s="12" customFormat="1" ht="16.5" thickTop="1" thickBot="1" x14ac:dyDescent="0.25"/>
    <row r="15" spans="2:7" s="12" customFormat="1" ht="20.25" thickBot="1" x14ac:dyDescent="0.25">
      <c r="F15" s="14">
        <f>SUM(F5:F13)</f>
        <v>2393.34375</v>
      </c>
      <c r="G15" s="15">
        <f>SUM(G5:G13)</f>
        <v>527.25</v>
      </c>
    </row>
    <row r="16" spans="2:7" s="12" customFormat="1" ht="15.75" thickBot="1" x14ac:dyDescent="0.25"/>
    <row r="17" spans="2:6" s="12" customFormat="1" ht="25.5" thickBot="1" x14ac:dyDescent="0.25">
      <c r="B17" s="141" t="s">
        <v>45</v>
      </c>
      <c r="C17" s="141"/>
      <c r="D17" s="18">
        <f>'RN y MPF'!B10</f>
        <v>21412.5</v>
      </c>
      <c r="F17" s="20">
        <f>F15-G15</f>
        <v>1866.09375</v>
      </c>
    </row>
    <row r="18" spans="2:6" s="12" customFormat="1" ht="18.95" customHeight="1" x14ac:dyDescent="0.2">
      <c r="B18" s="141" t="s">
        <v>46</v>
      </c>
      <c r="C18" s="141"/>
      <c r="D18" s="19">
        <f>'RN y MPF'!F56</f>
        <v>5550</v>
      </c>
    </row>
    <row r="19" spans="2:6" s="12" customFormat="1" x14ac:dyDescent="0.2"/>
    <row r="20" spans="2:6" s="12" customFormat="1" x14ac:dyDescent="0.2"/>
    <row r="21" spans="2:6" s="12" customFormat="1" x14ac:dyDescent="0.2"/>
    <row r="22" spans="2:6" s="12" customFormat="1" x14ac:dyDescent="0.2"/>
    <row r="23" spans="2:6" s="12" customFormat="1" x14ac:dyDescent="0.2"/>
    <row r="24" spans="2:6" s="12" customFormat="1" x14ac:dyDescent="0.2"/>
    <row r="25" spans="2:6" s="12" customFormat="1" x14ac:dyDescent="0.2"/>
    <row r="26" spans="2:6" s="12" customFormat="1" x14ac:dyDescent="0.2"/>
    <row r="27" spans="2:6" s="12" customFormat="1" x14ac:dyDescent="0.2"/>
    <row r="28" spans="2:6" s="12" customFormat="1" x14ac:dyDescent="0.2"/>
    <row r="29" spans="2:6" s="12" customFormat="1" x14ac:dyDescent="0.2"/>
    <row r="30" spans="2:6" s="12" customFormat="1" x14ac:dyDescent="0.2"/>
    <row r="31" spans="2:6" s="12" customFormat="1" x14ac:dyDescent="0.2"/>
    <row r="32" spans="2:6" s="12" customFormat="1" x14ac:dyDescent="0.2"/>
  </sheetData>
  <sheetProtection algorithmName="SHA-512" hashValue="cHmFfGcesJy8Btv8bimyFJYq7dntd/YqVNmUwM/b5nvhUXBdbPVM6Y3L+aF9gCAK4ItNE5dtJJ/xtCGXOXPoGg==" saltValue="wRy0ZB0ztuup2RG6aDlcdQ==" spinCount="100000" sheet="1" objects="1" scenarios="1"/>
  <mergeCells count="3">
    <mergeCell ref="B4:E4"/>
    <mergeCell ref="B17:C17"/>
    <mergeCell ref="B18:C18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E15" sqref="E15"/>
    </sheetView>
  </sheetViews>
  <sheetFormatPr baseColWidth="10" defaultColWidth="10.875" defaultRowHeight="15" x14ac:dyDescent="0.2"/>
  <cols>
    <col min="1" max="1" width="4.625" style="16" customWidth="1"/>
    <col min="2" max="2" width="19.5" style="16" bestFit="1" customWidth="1"/>
    <col min="3" max="3" width="18.625" style="16" customWidth="1"/>
    <col min="4" max="4" width="23" style="16" bestFit="1" customWidth="1"/>
    <col min="5" max="5" width="13.5" style="16" bestFit="1" customWidth="1"/>
    <col min="6" max="6" width="28" style="16" customWidth="1"/>
    <col min="7" max="7" width="23" style="16" customWidth="1"/>
    <col min="8" max="9" width="21.5" style="16" bestFit="1" customWidth="1"/>
    <col min="10" max="10" width="11.625" style="16" bestFit="1" customWidth="1"/>
    <col min="11" max="16384" width="10.875" style="16"/>
  </cols>
  <sheetData>
    <row r="1" spans="2:7" s="12" customFormat="1" x14ac:dyDescent="0.2"/>
    <row r="2" spans="2:7" s="12" customFormat="1" x14ac:dyDescent="0.2"/>
    <row r="3" spans="2:7" s="12" customFormat="1" ht="15.75" thickBot="1" x14ac:dyDescent="0.25"/>
    <row r="4" spans="2:7" s="12" customFormat="1" ht="18.75" thickBot="1" x14ac:dyDescent="0.25">
      <c r="B4" s="145" t="s">
        <v>67</v>
      </c>
      <c r="C4" s="143"/>
      <c r="D4" s="143"/>
      <c r="E4" s="144"/>
      <c r="F4" s="17" t="s">
        <v>0</v>
      </c>
      <c r="G4" s="31" t="s">
        <v>66</v>
      </c>
    </row>
    <row r="5" spans="2:7" s="12" customFormat="1" x14ac:dyDescent="0.2">
      <c r="B5" s="4">
        <v>0</v>
      </c>
      <c r="C5" s="8">
        <v>0</v>
      </c>
      <c r="D5" s="3">
        <f>B6</f>
        <v>12450</v>
      </c>
      <c r="E5" s="10">
        <v>9.5000000000000001E-2</v>
      </c>
      <c r="F5" s="13" t="str">
        <f t="shared" ref="F5:F10" si="0">IF(D$14&gt;=B5,IF(D$14&lt;=D5,((D$14-B5)*E5)+C5," ")," ")</f>
        <v xml:space="preserve"> </v>
      </c>
      <c r="G5" s="13">
        <f t="shared" ref="G5:G10" si="1">IF(D$15&gt;=B5,IF(D$15&lt;=D5,((D$15-B5)*E5)+C5," ")," ")</f>
        <v>527.25</v>
      </c>
    </row>
    <row r="6" spans="2:7" s="12" customFormat="1" x14ac:dyDescent="0.2">
      <c r="B6" s="4">
        <v>12450</v>
      </c>
      <c r="C6" s="8">
        <v>1182.75</v>
      </c>
      <c r="D6" s="3">
        <f t="shared" ref="D6:D9" si="2">B7</f>
        <v>17707.21</v>
      </c>
      <c r="E6" s="10">
        <v>0.12</v>
      </c>
      <c r="F6" s="13" t="str">
        <f t="shared" si="0"/>
        <v xml:space="preserve"> </v>
      </c>
      <c r="G6" s="13" t="str">
        <f t="shared" si="1"/>
        <v xml:space="preserve"> </v>
      </c>
    </row>
    <row r="7" spans="2:7" s="12" customFormat="1" x14ac:dyDescent="0.2">
      <c r="B7" s="4">
        <v>17707.21</v>
      </c>
      <c r="C7" s="8">
        <v>1813.61</v>
      </c>
      <c r="D7" s="3">
        <f t="shared" si="2"/>
        <v>33007.21</v>
      </c>
      <c r="E7" s="10">
        <v>0.14000000000000001</v>
      </c>
      <c r="F7" s="13">
        <f t="shared" si="0"/>
        <v>2332.3506000000002</v>
      </c>
      <c r="G7" s="13" t="str">
        <f t="shared" si="1"/>
        <v xml:space="preserve"> </v>
      </c>
    </row>
    <row r="8" spans="2:7" s="12" customFormat="1" x14ac:dyDescent="0.2">
      <c r="B8" s="4">
        <v>33007.21</v>
      </c>
      <c r="C8" s="8">
        <v>3955.61</v>
      </c>
      <c r="D8" s="3">
        <f t="shared" si="2"/>
        <v>53407.21</v>
      </c>
      <c r="E8" s="10">
        <v>0.185</v>
      </c>
      <c r="F8" s="13" t="str">
        <f t="shared" si="0"/>
        <v xml:space="preserve"> </v>
      </c>
      <c r="G8" s="13" t="str">
        <f t="shared" si="1"/>
        <v xml:space="preserve"> </v>
      </c>
    </row>
    <row r="9" spans="2:7" s="12" customFormat="1" x14ac:dyDescent="0.2">
      <c r="B9" s="4">
        <v>53407.21</v>
      </c>
      <c r="C9" s="8">
        <v>7729.61</v>
      </c>
      <c r="D9" s="3">
        <f t="shared" si="2"/>
        <v>90000.01</v>
      </c>
      <c r="E9" s="10">
        <v>0.23499999999999999</v>
      </c>
      <c r="F9" s="13" t="str">
        <f t="shared" si="0"/>
        <v xml:space="preserve"> </v>
      </c>
      <c r="G9" s="13" t="str">
        <f t="shared" si="1"/>
        <v xml:space="preserve"> </v>
      </c>
    </row>
    <row r="10" spans="2:7" s="12" customFormat="1" ht="15.75" thickBot="1" x14ac:dyDescent="0.25">
      <c r="B10" s="5">
        <v>90000.01</v>
      </c>
      <c r="C10" s="9">
        <v>16328.92</v>
      </c>
      <c r="D10" s="21">
        <v>10000000000</v>
      </c>
      <c r="E10" s="11">
        <v>0.24</v>
      </c>
      <c r="F10" s="13" t="str">
        <f t="shared" si="0"/>
        <v xml:space="preserve"> </v>
      </c>
      <c r="G10" s="13" t="str">
        <f t="shared" si="1"/>
        <v xml:space="preserve"> </v>
      </c>
    </row>
    <row r="11" spans="2:7" s="12" customFormat="1" ht="16.5" thickTop="1" thickBot="1" x14ac:dyDescent="0.25"/>
    <row r="12" spans="2:7" s="12" customFormat="1" ht="20.25" thickBot="1" x14ac:dyDescent="0.25">
      <c r="F12" s="14">
        <f>SUM(F5:F10)</f>
        <v>2332.3506000000002</v>
      </c>
      <c r="G12" s="15">
        <f>SUM(G5:G10)</f>
        <v>527.25</v>
      </c>
    </row>
    <row r="13" spans="2:7" s="12" customFormat="1" ht="15.75" thickBot="1" x14ac:dyDescent="0.25"/>
    <row r="14" spans="2:7" s="12" customFormat="1" ht="25.5" thickBot="1" x14ac:dyDescent="0.25">
      <c r="B14" s="141" t="s">
        <v>45</v>
      </c>
      <c r="C14" s="141"/>
      <c r="D14" s="18">
        <f>'RN y MPF'!B10</f>
        <v>21412.5</v>
      </c>
      <c r="F14" s="20">
        <f>F12-G12</f>
        <v>1805.1006000000002</v>
      </c>
    </row>
    <row r="15" spans="2:7" s="12" customFormat="1" ht="18.95" customHeight="1" x14ac:dyDescent="0.2">
      <c r="B15" s="141" t="s">
        <v>46</v>
      </c>
      <c r="C15" s="141"/>
      <c r="D15" s="19">
        <f>'RN y MPF'!F29</f>
        <v>5550</v>
      </c>
    </row>
    <row r="16" spans="2:7" s="12" customFormat="1" x14ac:dyDescent="0.2"/>
    <row r="17" s="12" customFormat="1" x14ac:dyDescent="0.2"/>
    <row r="18" s="12" customFormat="1" x14ac:dyDescent="0.2"/>
    <row r="19" s="12" customFormat="1" x14ac:dyDescent="0.2"/>
    <row r="20" s="12" customFormat="1" x14ac:dyDescent="0.2"/>
    <row r="21" s="12" customFormat="1" x14ac:dyDescent="0.2"/>
    <row r="22" s="12" customFormat="1" x14ac:dyDescent="0.2"/>
    <row r="23" s="12" customFormat="1" x14ac:dyDescent="0.2"/>
    <row r="24" s="12" customFormat="1" x14ac:dyDescent="0.2"/>
    <row r="25" s="12" customFormat="1" x14ac:dyDescent="0.2"/>
    <row r="26" s="12" customFormat="1" x14ac:dyDescent="0.2"/>
    <row r="27" s="12" customFormat="1" x14ac:dyDescent="0.2"/>
    <row r="28" s="12" customFormat="1" x14ac:dyDescent="0.2"/>
    <row r="29" s="12" customFormat="1" x14ac:dyDescent="0.2"/>
  </sheetData>
  <sheetProtection algorithmName="SHA-512" hashValue="2PhdCVpKkHBYvMpEZnR7P6yjBlriO3Ilx4lvRf+UsxA++JVVRzygmwJk8T+6NuL/tnsMa5nuw3jV9NphJJqgWg==" saltValue="10G6FeA1LfdbZS8vM1j4oA==" spinCount="100000" sheet="1" objects="1" scenarios="1" selectLockedCells="1" selectUnlockedCells="1"/>
  <mergeCells count="3">
    <mergeCell ref="B4:E4"/>
    <mergeCell ref="B14:C14"/>
    <mergeCell ref="B15:C15"/>
  </mergeCell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DATOS A INTRODUCIR</vt:lpstr>
      <vt:lpstr>RESULTADOS</vt:lpstr>
      <vt:lpstr>RN y MPF</vt:lpstr>
      <vt:lpstr>CUOTA ESTATAL</vt:lpstr>
      <vt:lpstr>ANDALUCIA</vt:lpstr>
      <vt:lpstr>ARAGÓN</vt:lpstr>
      <vt:lpstr>ASTURIAS</vt:lpstr>
      <vt:lpstr>BALEARES</vt:lpstr>
      <vt:lpstr>CANARIAS</vt:lpstr>
      <vt:lpstr>CANTABRIA</vt:lpstr>
      <vt:lpstr>C-La Mancha</vt:lpstr>
      <vt:lpstr>CyLeón</vt:lpstr>
      <vt:lpstr>CATALUÑA</vt:lpstr>
      <vt:lpstr>EXTREMADURA</vt:lpstr>
      <vt:lpstr>GALICIA</vt:lpstr>
      <vt:lpstr>MADRID</vt:lpstr>
      <vt:lpstr>MURCIA</vt:lpstr>
      <vt:lpstr>La RIOJA</vt:lpstr>
      <vt:lpstr>VALENCIA</vt:lpstr>
    </vt:vector>
  </TitlesOfParts>
  <Company>Universidad Autónoma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Jurado</dc:creator>
  <cp:lastModifiedBy>raquel</cp:lastModifiedBy>
  <dcterms:created xsi:type="dcterms:W3CDTF">2015-12-22T20:16:18Z</dcterms:created>
  <dcterms:modified xsi:type="dcterms:W3CDTF">2016-03-15T10:27:23Z</dcterms:modified>
</cp:coreProperties>
</file>